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charts/chart19.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4.xml" ContentType="application/vnd.openxmlformats-officedocument.spreadsheetml.comments+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ml.chartshapes+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ml.chartshapes+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0.xml" ContentType="application/vnd.openxmlformats-officedocument.drawingml.chartshapes+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ml.chartshapes+xml"/>
  <Override PartName="/xl/charts/chart24.xml" ContentType="application/vnd.openxmlformats-officedocument.drawingml.chart+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R:\Investor Relations\Data\Hays Model\"/>
    </mc:Choice>
  </mc:AlternateContent>
  <xr:revisionPtr revIDLastSave="0" documentId="13_ncr:1_{8B608343-A8DB-43A3-9BB3-3BE60D3DB291}" xr6:coauthVersionLast="47" xr6:coauthVersionMax="47" xr10:uidLastSave="{00000000-0000-0000-0000-000000000000}"/>
  <bookViews>
    <workbookView xWindow="28680" yWindow="-120" windowWidth="29040" windowHeight="15720" tabRatio="546" xr2:uid="{68FD470B-6CEA-44C1-AD5C-A48B538B5C31}"/>
  </bookViews>
  <sheets>
    <sheet name="Database" sheetId="5" r:id="rId1"/>
    <sheet name="Quarters" sheetId="4" r:id="rId2"/>
    <sheet name="Fee &amp; Cost Breakdown" sheetId="8" r:id="rId3"/>
    <sheet name="Charts" sheetId="9" state="hidden" r:id="rId4"/>
    <sheet name="Glossary" sheetId="13" r:id="rId5"/>
    <sheet name="Global footprint" sheetId="14" r:id="rId6"/>
    <sheet name="FY22 PLAN" sheetId="11" state="hidden" r:id="rId7"/>
    <sheet name="CASH" sheetId="12" state="hidden" r:id="rId8"/>
    <sheet name="Rest of World" sheetId="7" state="hidden" r:id="rId9"/>
    <sheet name="Offices" sheetId="6" state="hidden" r:id="rId10"/>
  </sheets>
  <externalReferences>
    <externalReference r:id="rId11"/>
  </externalReferences>
  <definedNames>
    <definedName name="_xlnm.Print_Area" localSheetId="0">Database!$B$1:$AQ$270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Z99" i="8" l="1"/>
  <c r="AZ100" i="8" s="1"/>
  <c r="AY99" i="8"/>
  <c r="AX99" i="8"/>
  <c r="AX100" i="8" s="1"/>
  <c r="AZ12" i="8"/>
  <c r="AZ88" i="8"/>
  <c r="AZ89" i="8" s="1"/>
  <c r="AZ79" i="8"/>
  <c r="AZ80" i="8" s="1"/>
  <c r="AZ69" i="8"/>
  <c r="AZ70" i="8" s="1"/>
  <c r="AZ58" i="8"/>
  <c r="AZ56" i="8"/>
  <c r="AZ55" i="8"/>
  <c r="AZ54" i="8"/>
  <c r="AZ53" i="8"/>
  <c r="AZ52" i="8"/>
  <c r="AZ32" i="8"/>
  <c r="AZ33" i="8" s="1"/>
  <c r="AZ21" i="8"/>
  <c r="AZ18" i="8"/>
  <c r="AZ23" i="8" s="1"/>
  <c r="AZ22" i="8" s="1"/>
  <c r="AZ17" i="8"/>
  <c r="AZ16" i="8"/>
  <c r="AZ13" i="8"/>
  <c r="AZ11" i="8"/>
  <c r="AZ10" i="8"/>
  <c r="AZ9" i="8"/>
  <c r="AZ6" i="8"/>
  <c r="AV6" i="8"/>
  <c r="AW6" i="8"/>
  <c r="AX6" i="8"/>
  <c r="AY6" i="8"/>
  <c r="AV9" i="8"/>
  <c r="AW9" i="8"/>
  <c r="AX9" i="8"/>
  <c r="AY9" i="8"/>
  <c r="AV10" i="8"/>
  <c r="AW10" i="8"/>
  <c r="AX10" i="8"/>
  <c r="AY10" i="8"/>
  <c r="AV11" i="8"/>
  <c r="AW11" i="8"/>
  <c r="AX11" i="8"/>
  <c r="AY11" i="8"/>
  <c r="AV12" i="8"/>
  <c r="AW12" i="8"/>
  <c r="AX12" i="8"/>
  <c r="AY12" i="8"/>
  <c r="AV13" i="8"/>
  <c r="AW13" i="8"/>
  <c r="AX13" i="8"/>
  <c r="AY13" i="8"/>
  <c r="AV16" i="8"/>
  <c r="AW16" i="8"/>
  <c r="AX16" i="8"/>
  <c r="AY16" i="8"/>
  <c r="AV17" i="8"/>
  <c r="AW17" i="8"/>
  <c r="AX17" i="8"/>
  <c r="AY17" i="8"/>
  <c r="AV18" i="8"/>
  <c r="AW18" i="8"/>
  <c r="AX18" i="8"/>
  <c r="AY18" i="8"/>
  <c r="AV21" i="8"/>
  <c r="AW21" i="8"/>
  <c r="AX21" i="8"/>
  <c r="AY21" i="8"/>
  <c r="AV22" i="8"/>
  <c r="AV23" i="8"/>
  <c r="AW23" i="8"/>
  <c r="AW22" i="8" s="1"/>
  <c r="AX23" i="8"/>
  <c r="AX22" i="8" s="1"/>
  <c r="AY23" i="8"/>
  <c r="AY22" i="8" s="1"/>
  <c r="AV32" i="8"/>
  <c r="AW32" i="8"/>
  <c r="AW33" i="8" s="1"/>
  <c r="AX32" i="8"/>
  <c r="AX33" i="8" s="1"/>
  <c r="AY32" i="8"/>
  <c r="AY33" i="8" s="1"/>
  <c r="AV33" i="8"/>
  <c r="AV52" i="8"/>
  <c r="AW52" i="8"/>
  <c r="AX52" i="8"/>
  <c r="AY52" i="8"/>
  <c r="AV53" i="8"/>
  <c r="AW53" i="8"/>
  <c r="AX53" i="8"/>
  <c r="AY53" i="8"/>
  <c r="AV54" i="8"/>
  <c r="AW54" i="8"/>
  <c r="AX54" i="8"/>
  <c r="AY54" i="8"/>
  <c r="AV55" i="8"/>
  <c r="AW55" i="8"/>
  <c r="AX55" i="8"/>
  <c r="AY55" i="8"/>
  <c r="AV56" i="8"/>
  <c r="AW56" i="8"/>
  <c r="AX56" i="8"/>
  <c r="AY56" i="8"/>
  <c r="AV58" i="8"/>
  <c r="AW58" i="8"/>
  <c r="AX58" i="8"/>
  <c r="AY58" i="8"/>
  <c r="AV69" i="8"/>
  <c r="AW69" i="8"/>
  <c r="AW70" i="8" s="1"/>
  <c r="AX69" i="8"/>
  <c r="AX70" i="8" s="1"/>
  <c r="AY69" i="8"/>
  <c r="AY70" i="8" s="1"/>
  <c r="AV70" i="8"/>
  <c r="AV79" i="8"/>
  <c r="AV80" i="8" s="1"/>
  <c r="AW79" i="8"/>
  <c r="AX79" i="8"/>
  <c r="AX80" i="8" s="1"/>
  <c r="AY79" i="8"/>
  <c r="AY80" i="8" s="1"/>
  <c r="AW80" i="8"/>
  <c r="AV88" i="8"/>
  <c r="AW88" i="8"/>
  <c r="AW89" i="8" s="1"/>
  <c r="AX88" i="8"/>
  <c r="AX89" i="8" s="1"/>
  <c r="AY88" i="8"/>
  <c r="AY89" i="8" s="1"/>
  <c r="AV89" i="8"/>
  <c r="AV100" i="8"/>
  <c r="AW100" i="8"/>
  <c r="AY100" i="8"/>
  <c r="AY118" i="5"/>
  <c r="AY115" i="5"/>
  <c r="AY114" i="5"/>
  <c r="AV115" i="5"/>
  <c r="AV114" i="5"/>
  <c r="AY139" i="5"/>
  <c r="AY138" i="5"/>
  <c r="AY137" i="5"/>
  <c r="AY136" i="5"/>
  <c r="AY204" i="5"/>
  <c r="AY197" i="5"/>
  <c r="AY196" i="5"/>
  <c r="AY194" i="5"/>
  <c r="AY192" i="5"/>
  <c r="AY191" i="5"/>
  <c r="AY190" i="5"/>
  <c r="AY189" i="5"/>
  <c r="AY188" i="5"/>
  <c r="AY187" i="5"/>
  <c r="AY186" i="5"/>
  <c r="AY185" i="5"/>
  <c r="AY193" i="5" s="1"/>
  <c r="AY184" i="5"/>
  <c r="AY183" i="5"/>
  <c r="AY182" i="5"/>
  <c r="AY180" i="5"/>
  <c r="AY179" i="5"/>
  <c r="AY178" i="5"/>
  <c r="AY177" i="5"/>
  <c r="AY176" i="5"/>
  <c r="AY175" i="5"/>
  <c r="AY174" i="5"/>
  <c r="AY172" i="5"/>
  <c r="AY171" i="5"/>
  <c r="AY170" i="5"/>
  <c r="AY169" i="5"/>
  <c r="AY167" i="5"/>
  <c r="AY166" i="5"/>
  <c r="AY165" i="5"/>
  <c r="AY162" i="5"/>
  <c r="AY163" i="5" s="1"/>
  <c r="AY168" i="5" s="1"/>
  <c r="AY161" i="5"/>
  <c r="AY160" i="5"/>
  <c r="AY159" i="5"/>
  <c r="AY158" i="5"/>
  <c r="AY157" i="5"/>
  <c r="AY156" i="5"/>
  <c r="AY155" i="5"/>
  <c r="AY153" i="5"/>
  <c r="AX204" i="5"/>
  <c r="AX197" i="5"/>
  <c r="AZ197" i="5"/>
  <c r="AZ204" i="5" s="1"/>
  <c r="AX193" i="5"/>
  <c r="AX172" i="5"/>
  <c r="AX163" i="5"/>
  <c r="AX162" i="5"/>
  <c r="AX255" i="5"/>
  <c r="AX254" i="5"/>
  <c r="AX253" i="5"/>
  <c r="AX240" i="5"/>
  <c r="AX241" i="5" s="1"/>
  <c r="AX231" i="5"/>
  <c r="AZ222" i="5"/>
  <c r="AZ221" i="5"/>
  <c r="AX221" i="5"/>
  <c r="AX222" i="5" s="1"/>
  <c r="AZ215" i="5"/>
  <c r="AX215" i="5"/>
  <c r="AX144" i="5"/>
  <c r="AY144" i="5"/>
  <c r="AY142" i="5"/>
  <c r="AZ146" i="5"/>
  <c r="AY146" i="5"/>
  <c r="AX146" i="5"/>
  <c r="AZ193" i="5"/>
  <c r="AZ172" i="5"/>
  <c r="AZ162" i="5"/>
  <c r="AZ163" i="5" s="1"/>
  <c r="AZ253" i="5"/>
  <c r="AW241" i="5"/>
  <c r="AW240" i="5"/>
  <c r="AZ240" i="5"/>
  <c r="AZ241" i="5" s="1"/>
  <c r="AZ242" i="5" s="1"/>
  <c r="AZ254" i="5" s="1"/>
  <c r="AZ255" i="5" s="1"/>
  <c r="AW231" i="5"/>
  <c r="AZ231" i="5"/>
  <c r="AZ73" i="5"/>
  <c r="AY73" i="5"/>
  <c r="AX73" i="5"/>
  <c r="AY71" i="5"/>
  <c r="AX71" i="5"/>
  <c r="AZ74" i="5"/>
  <c r="AY74" i="5"/>
  <c r="AX74" i="5"/>
  <c r="AW145" i="5"/>
  <c r="AW144" i="5"/>
  <c r="AW142" i="5"/>
  <c r="AV137" i="5"/>
  <c r="AV136" i="5"/>
  <c r="AV139" i="5"/>
  <c r="AV138" i="5"/>
  <c r="AW149" i="5"/>
  <c r="AW150" i="5"/>
  <c r="AW74" i="5"/>
  <c r="AW73" i="5"/>
  <c r="AV69" i="5"/>
  <c r="AV68" i="5"/>
  <c r="AZ56" i="5"/>
  <c r="AZ269" i="5"/>
  <c r="AY269" i="5"/>
  <c r="AX269" i="5"/>
  <c r="AW269" i="5"/>
  <c r="AZ267" i="5"/>
  <c r="AY267" i="5"/>
  <c r="AX267" i="5"/>
  <c r="AW267" i="5"/>
  <c r="AZ265" i="5"/>
  <c r="AY265" i="5"/>
  <c r="AX265" i="5"/>
  <c r="AW265" i="5"/>
  <c r="AZ263" i="5"/>
  <c r="AY263" i="5"/>
  <c r="AX263" i="5"/>
  <c r="AW263" i="5"/>
  <c r="AZ261" i="5"/>
  <c r="AY261" i="5"/>
  <c r="AX261" i="5"/>
  <c r="AW261" i="5"/>
  <c r="AZ260" i="5"/>
  <c r="AY260" i="5"/>
  <c r="AX260" i="5"/>
  <c r="AW260" i="5"/>
  <c r="AZ259" i="5"/>
  <c r="AY259" i="5"/>
  <c r="AX259" i="5"/>
  <c r="AW259" i="5"/>
  <c r="AV269" i="5"/>
  <c r="AV267" i="5"/>
  <c r="AV265" i="5"/>
  <c r="AV263" i="5"/>
  <c r="AV261" i="5"/>
  <c r="AV260" i="5"/>
  <c r="AV259" i="5"/>
  <c r="AZ132" i="5"/>
  <c r="AZ133" i="5" s="1"/>
  <c r="AY132" i="5"/>
  <c r="AX132" i="5"/>
  <c r="AX133" i="5" s="1"/>
  <c r="AW133" i="5"/>
  <c r="AZ130" i="5"/>
  <c r="AY130" i="5"/>
  <c r="AX130" i="5"/>
  <c r="AX131" i="5" s="1"/>
  <c r="AW130" i="5"/>
  <c r="AW131" i="5" s="1"/>
  <c r="AX127" i="5"/>
  <c r="AW127" i="5"/>
  <c r="AZ123" i="5"/>
  <c r="AZ127" i="5" s="1"/>
  <c r="AX123" i="5"/>
  <c r="AW123" i="5"/>
  <c r="AZ122" i="5"/>
  <c r="AY122" i="5"/>
  <c r="AX122" i="5"/>
  <c r="AW122" i="5"/>
  <c r="AZ121" i="5"/>
  <c r="AY121" i="5"/>
  <c r="AX121" i="5"/>
  <c r="AW121" i="5"/>
  <c r="AZ120" i="5"/>
  <c r="AY120" i="5"/>
  <c r="AX120" i="5"/>
  <c r="AW120" i="5"/>
  <c r="AZ118" i="5"/>
  <c r="AX118" i="5"/>
  <c r="AW118" i="5"/>
  <c r="AZ117" i="5"/>
  <c r="AZ125" i="5" s="1"/>
  <c r="AY117" i="5"/>
  <c r="AY125" i="5" s="1"/>
  <c r="AX117" i="5"/>
  <c r="AX125" i="5" s="1"/>
  <c r="AW117" i="5"/>
  <c r="AW125" i="5" s="1"/>
  <c r="AZ113" i="5"/>
  <c r="AY113" i="5"/>
  <c r="AX113" i="5"/>
  <c r="AW113" i="5"/>
  <c r="AZ110" i="5"/>
  <c r="AY110" i="5"/>
  <c r="AX110" i="5"/>
  <c r="AX111" i="5" s="1"/>
  <c r="AW110" i="5"/>
  <c r="AW111" i="5" s="1"/>
  <c r="AZ109" i="5"/>
  <c r="AY109" i="5"/>
  <c r="AX109" i="5"/>
  <c r="AW109" i="5"/>
  <c r="AZ108" i="5"/>
  <c r="AY108" i="5"/>
  <c r="AX108" i="5"/>
  <c r="AW108" i="5"/>
  <c r="AZ107" i="5"/>
  <c r="AY107" i="5"/>
  <c r="AX107" i="5"/>
  <c r="AW107" i="5"/>
  <c r="AZ106" i="5"/>
  <c r="AY106" i="5"/>
  <c r="AX106" i="5"/>
  <c r="AW106" i="5"/>
  <c r="AZ103" i="5"/>
  <c r="AY103" i="5"/>
  <c r="AX103" i="5"/>
  <c r="AZ102" i="5"/>
  <c r="AY102" i="5"/>
  <c r="AX102" i="5"/>
  <c r="AZ101" i="5"/>
  <c r="AY101" i="5"/>
  <c r="AX101" i="5"/>
  <c r="AZ100" i="5"/>
  <c r="AY100" i="5"/>
  <c r="AX100" i="5"/>
  <c r="AZ99" i="5"/>
  <c r="AY99" i="5"/>
  <c r="AX99" i="5"/>
  <c r="AZ95" i="5"/>
  <c r="AY95" i="5"/>
  <c r="AX95" i="5"/>
  <c r="AX94" i="5"/>
  <c r="AZ93" i="5"/>
  <c r="AZ111" i="5" s="1"/>
  <c r="AY93" i="5"/>
  <c r="AY111" i="5" s="1"/>
  <c r="AX93" i="5"/>
  <c r="AZ91" i="5"/>
  <c r="AY91" i="5"/>
  <c r="AX91" i="5"/>
  <c r="AX90" i="5"/>
  <c r="AX92" i="5" s="1"/>
  <c r="AZ89" i="5"/>
  <c r="AZ90" i="5" s="1"/>
  <c r="AZ92" i="5" s="1"/>
  <c r="AY89" i="5"/>
  <c r="AX89" i="5"/>
  <c r="AZ87" i="5"/>
  <c r="AY87" i="5"/>
  <c r="AX87" i="5"/>
  <c r="AZ85" i="5"/>
  <c r="AZ86" i="5" s="1"/>
  <c r="AZ88" i="5" s="1"/>
  <c r="AY85" i="5"/>
  <c r="AX85" i="5"/>
  <c r="AX86" i="5" s="1"/>
  <c r="AX88" i="5" s="1"/>
  <c r="AZ83" i="5"/>
  <c r="AY83" i="5"/>
  <c r="AX83" i="5"/>
  <c r="AZ82" i="5"/>
  <c r="AZ84" i="5" s="1"/>
  <c r="AZ81" i="5"/>
  <c r="AY81" i="5"/>
  <c r="AX81" i="5"/>
  <c r="AX82" i="5" s="1"/>
  <c r="AX84" i="5" s="1"/>
  <c r="AZ79" i="5"/>
  <c r="AY79" i="5"/>
  <c r="AX79" i="5"/>
  <c r="AX78" i="5"/>
  <c r="AZ77" i="5"/>
  <c r="AZ78" i="5" s="1"/>
  <c r="AZ80" i="5" s="1"/>
  <c r="AY77" i="5"/>
  <c r="AX77" i="5"/>
  <c r="AW103" i="5"/>
  <c r="AW102" i="5"/>
  <c r="AW101" i="5"/>
  <c r="AW100" i="5"/>
  <c r="AW99" i="5"/>
  <c r="AW95" i="5"/>
  <c r="AW93" i="5"/>
  <c r="AW94" i="5" s="1"/>
  <c r="AW96" i="5" s="1"/>
  <c r="AW91" i="5"/>
  <c r="AW89" i="5"/>
  <c r="AW90" i="5" s="1"/>
  <c r="AW87" i="5"/>
  <c r="AW85" i="5"/>
  <c r="AW86" i="5" s="1"/>
  <c r="AW88" i="5" s="1"/>
  <c r="AW83" i="5"/>
  <c r="AW81" i="5"/>
  <c r="AW82" i="5" s="1"/>
  <c r="AW84" i="5" s="1"/>
  <c r="AW79" i="5"/>
  <c r="AW77" i="5"/>
  <c r="AW78" i="5" s="1"/>
  <c r="AW80" i="5" s="1"/>
  <c r="AW62" i="5"/>
  <c r="AX62" i="5"/>
  <c r="AY62" i="5"/>
  <c r="AZ62" i="5"/>
  <c r="AV62" i="5"/>
  <c r="AW61" i="5"/>
  <c r="AW56" i="5" s="1"/>
  <c r="AX61" i="5"/>
  <c r="AX56" i="5" s="1"/>
  <c r="AX64" i="5" s="1"/>
  <c r="AX65" i="5" s="1"/>
  <c r="AY61" i="5"/>
  <c r="AY56" i="5" s="1"/>
  <c r="AY64" i="5" s="1"/>
  <c r="AY65" i="5" s="1"/>
  <c r="AZ61" i="5"/>
  <c r="AW60" i="5"/>
  <c r="AX60" i="5"/>
  <c r="AY60" i="5"/>
  <c r="AZ60" i="5"/>
  <c r="AW59" i="5"/>
  <c r="AX59" i="5"/>
  <c r="AY59" i="5"/>
  <c r="AZ59" i="5"/>
  <c r="AW58" i="5"/>
  <c r="AX58" i="5"/>
  <c r="AY58" i="5"/>
  <c r="AZ58" i="5"/>
  <c r="AZ46" i="5"/>
  <c r="AZ44" i="5"/>
  <c r="AZ42" i="5"/>
  <c r="AZ40" i="5"/>
  <c r="AZ38" i="5"/>
  <c r="AZ34" i="5"/>
  <c r="AZ32" i="5"/>
  <c r="AZ30" i="5"/>
  <c r="AZ28" i="5"/>
  <c r="AZ29" i="5" s="1"/>
  <c r="AZ26" i="5"/>
  <c r="AZ24" i="5"/>
  <c r="AZ25" i="5" s="1"/>
  <c r="AZ27" i="5" s="1"/>
  <c r="AZ22" i="5"/>
  <c r="AZ20" i="5"/>
  <c r="AZ18" i="5"/>
  <c r="AZ16" i="5"/>
  <c r="AZ9" i="5"/>
  <c r="AZ7" i="5"/>
  <c r="AY46" i="5"/>
  <c r="AY44" i="5"/>
  <c r="AY42" i="5"/>
  <c r="AY40" i="5"/>
  <c r="AY38" i="5"/>
  <c r="AY34" i="5"/>
  <c r="AY32" i="5"/>
  <c r="AY30" i="5"/>
  <c r="AY28" i="5"/>
  <c r="AY26" i="5"/>
  <c r="AY24" i="5"/>
  <c r="AY22" i="5"/>
  <c r="AY20" i="5"/>
  <c r="AY18" i="5"/>
  <c r="AY16" i="5"/>
  <c r="AY9" i="5"/>
  <c r="AY7" i="5"/>
  <c r="AX46" i="5"/>
  <c r="AX47" i="5" s="1"/>
  <c r="AX44" i="5"/>
  <c r="AX42" i="5"/>
  <c r="AX43" i="5" s="1"/>
  <c r="AX45" i="5" s="1"/>
  <c r="AX40" i="5"/>
  <c r="AX38" i="5"/>
  <c r="AX39" i="5" s="1"/>
  <c r="AX41" i="5" s="1"/>
  <c r="AX34" i="5"/>
  <c r="AX32" i="5"/>
  <c r="AX33" i="5" s="1"/>
  <c r="AX35" i="5" s="1"/>
  <c r="AX30" i="5"/>
  <c r="AX28" i="5"/>
  <c r="AX29" i="5" s="1"/>
  <c r="AX31" i="5" s="1"/>
  <c r="AX26" i="5"/>
  <c r="AX24" i="5"/>
  <c r="AX25" i="5" s="1"/>
  <c r="AX22" i="5"/>
  <c r="AX20" i="5"/>
  <c r="AX21" i="5" s="1"/>
  <c r="AX23" i="5" s="1"/>
  <c r="AX18" i="5"/>
  <c r="AX16" i="5"/>
  <c r="AX17" i="5" s="1"/>
  <c r="AX19" i="5" s="1"/>
  <c r="AX9" i="5"/>
  <c r="AX7" i="5"/>
  <c r="AX8" i="5" s="1"/>
  <c r="AX10" i="5" s="1"/>
  <c r="AW46" i="5"/>
  <c r="AW47" i="5" s="1"/>
  <c r="AW44" i="5"/>
  <c r="AW42" i="5"/>
  <c r="AW43" i="5" s="1"/>
  <c r="AW45" i="5" s="1"/>
  <c r="AW40" i="5"/>
  <c r="AW38" i="5"/>
  <c r="AW39" i="5" s="1"/>
  <c r="AW34" i="5"/>
  <c r="AW32" i="5"/>
  <c r="AW33" i="5" s="1"/>
  <c r="AW35" i="5" s="1"/>
  <c r="AW30" i="5"/>
  <c r="AW28" i="5"/>
  <c r="AW29" i="5" s="1"/>
  <c r="AW31" i="5" s="1"/>
  <c r="AW26" i="5"/>
  <c r="AW24" i="5"/>
  <c r="AW25" i="5" s="1"/>
  <c r="AW27" i="5" s="1"/>
  <c r="AW22" i="5"/>
  <c r="AW20" i="5"/>
  <c r="AW21" i="5" s="1"/>
  <c r="AW23" i="5" s="1"/>
  <c r="AW18" i="5"/>
  <c r="AW16" i="5"/>
  <c r="AW17" i="5" s="1"/>
  <c r="AW19" i="5" s="1"/>
  <c r="AW9" i="5"/>
  <c r="AW7" i="5"/>
  <c r="AW8" i="5" s="1"/>
  <c r="AV44" i="5"/>
  <c r="AV40" i="5"/>
  <c r="AV95" i="5"/>
  <c r="AV91" i="5"/>
  <c r="AV87" i="5"/>
  <c r="AV83" i="5"/>
  <c r="AV79" i="5"/>
  <c r="AV100" i="5"/>
  <c r="AV101" i="5"/>
  <c r="AV102" i="5"/>
  <c r="AV103" i="5"/>
  <c r="AV99" i="5"/>
  <c r="AW253" i="5"/>
  <c r="AW242" i="5"/>
  <c r="AW204" i="5"/>
  <c r="AV196" i="5"/>
  <c r="AV192" i="5"/>
  <c r="AV191" i="5"/>
  <c r="AV190" i="5"/>
  <c r="AV189" i="5"/>
  <c r="AV188" i="5"/>
  <c r="AV187" i="5"/>
  <c r="AV186" i="5"/>
  <c r="AV185" i="5"/>
  <c r="AV184" i="5"/>
  <c r="AV183" i="5"/>
  <c r="AV182" i="5"/>
  <c r="AV179" i="5"/>
  <c r="AV178" i="5"/>
  <c r="AV177" i="5"/>
  <c r="AV176" i="5"/>
  <c r="AV175" i="5"/>
  <c r="AV174" i="5"/>
  <c r="AV171" i="5"/>
  <c r="AV170" i="5"/>
  <c r="AV169" i="5"/>
  <c r="AV166" i="5"/>
  <c r="AV165" i="5"/>
  <c r="AX242" i="5" l="1"/>
  <c r="AZ33" i="5"/>
  <c r="AZ35" i="5" s="1"/>
  <c r="AZ94" i="5"/>
  <c r="AZ96" i="5" s="1"/>
  <c r="AY47" i="5"/>
  <c r="AY17" i="5"/>
  <c r="AY19" i="5" s="1"/>
  <c r="AY43" i="5"/>
  <c r="AY45" i="5" s="1"/>
  <c r="AY94" i="5"/>
  <c r="AY96" i="5" s="1"/>
  <c r="AY21" i="5"/>
  <c r="AY23" i="5" s="1"/>
  <c r="AW64" i="5"/>
  <c r="AW65" i="5" s="1"/>
  <c r="AZ8" i="5"/>
  <c r="AZ10" i="5" s="1"/>
  <c r="AZ39" i="5"/>
  <c r="AZ41" i="5" s="1"/>
  <c r="AY25" i="5"/>
  <c r="AY27" i="5" s="1"/>
  <c r="AZ17" i="5"/>
  <c r="AZ19" i="5" s="1"/>
  <c r="AZ43" i="5"/>
  <c r="AZ45" i="5" s="1"/>
  <c r="AZ131" i="5"/>
  <c r="AZ64" i="5"/>
  <c r="AZ65" i="5" s="1"/>
  <c r="AY29" i="5"/>
  <c r="AY31" i="5" s="1"/>
  <c r="AZ21" i="5"/>
  <c r="AZ23" i="5" s="1"/>
  <c r="AZ47" i="5"/>
  <c r="AY33" i="5"/>
  <c r="AY35" i="5" s="1"/>
  <c r="AW10" i="5"/>
  <c r="AW41" i="5"/>
  <c r="AX27" i="5"/>
  <c r="AZ31" i="5"/>
  <c r="AW92" i="5"/>
  <c r="AX80" i="5"/>
  <c r="AX96" i="5"/>
  <c r="AY133" i="5"/>
  <c r="AV193" i="5"/>
  <c r="AW254" i="5"/>
  <c r="AW255" i="5" s="1"/>
  <c r="AW180" i="5"/>
  <c r="AV150" i="5"/>
  <c r="AV149" i="5"/>
  <c r="AV145" i="5"/>
  <c r="AV143" i="5"/>
  <c r="AV141" i="5"/>
  <c r="AV132" i="5"/>
  <c r="AV130" i="5"/>
  <c r="AY131" i="5" s="1"/>
  <c r="AV123" i="5"/>
  <c r="AV122" i="5"/>
  <c r="AV121" i="5"/>
  <c r="AV120" i="5"/>
  <c r="AV118" i="5"/>
  <c r="AV117" i="5"/>
  <c r="AV113" i="5"/>
  <c r="AV110" i="5"/>
  <c r="AV109" i="5"/>
  <c r="AV108" i="5"/>
  <c r="AV107" i="5"/>
  <c r="AV106" i="5"/>
  <c r="AV93" i="5"/>
  <c r="AV89" i="5"/>
  <c r="AY90" i="5" s="1"/>
  <c r="AY92" i="5" s="1"/>
  <c r="AV85" i="5"/>
  <c r="AY86" i="5" s="1"/>
  <c r="AY88" i="5" s="1"/>
  <c r="AV81" i="5"/>
  <c r="AY82" i="5" s="1"/>
  <c r="AY84" i="5" s="1"/>
  <c r="AV77" i="5"/>
  <c r="AY78" i="5" s="1"/>
  <c r="AY80" i="5" s="1"/>
  <c r="AV71" i="5"/>
  <c r="AV61" i="5"/>
  <c r="AV60" i="5"/>
  <c r="AV59" i="5"/>
  <c r="AV58" i="5"/>
  <c r="AV46" i="5"/>
  <c r="AV47" i="5" s="1"/>
  <c r="AV42" i="5"/>
  <c r="AV38" i="5"/>
  <c r="AY39" i="5" s="1"/>
  <c r="AY41" i="5" s="1"/>
  <c r="AV34" i="5"/>
  <c r="AV32" i="5"/>
  <c r="AV30" i="5"/>
  <c r="AV28" i="5"/>
  <c r="AV26" i="5"/>
  <c r="AV24" i="5"/>
  <c r="AV22" i="5"/>
  <c r="AV20" i="5"/>
  <c r="AV18" i="5"/>
  <c r="AV16" i="5"/>
  <c r="AV9" i="5"/>
  <c r="AV7" i="5"/>
  <c r="AY8" i="5" s="1"/>
  <c r="AY10" i="5" s="1"/>
  <c r="AV156" i="5"/>
  <c r="AV157" i="5"/>
  <c r="AV158" i="5"/>
  <c r="AV159" i="5"/>
  <c r="AV160" i="5"/>
  <c r="AV161" i="5"/>
  <c r="AV155" i="5"/>
  <c r="AU153" i="5"/>
  <c r="AW162" i="5"/>
  <c r="AW163" i="5" s="1"/>
  <c r="AV144" i="5" l="1"/>
  <c r="AU144" i="5"/>
  <c r="AV127" i="5"/>
  <c r="AV125" i="5"/>
  <c r="AV94" i="5"/>
  <c r="AV96" i="5" s="1"/>
  <c r="AV90" i="5"/>
  <c r="AV92" i="5" s="1"/>
  <c r="AV86" i="5"/>
  <c r="AV88" i="5" s="1"/>
  <c r="AV82" i="5"/>
  <c r="AV84" i="5" s="1"/>
  <c r="AV78" i="5"/>
  <c r="AV80" i="5" s="1"/>
  <c r="AV111" i="5"/>
  <c r="AV73" i="5"/>
  <c r="AV74" i="5" s="1"/>
  <c r="AV56" i="5"/>
  <c r="AV64" i="5" s="1"/>
  <c r="AV65" i="5" s="1"/>
  <c r="AV43" i="5"/>
  <c r="AV45" i="5" s="1"/>
  <c r="AV39" i="5"/>
  <c r="AV41" i="5" s="1"/>
  <c r="AV33" i="5" l="1"/>
  <c r="AV35" i="5" s="1"/>
  <c r="AV29" i="5"/>
  <c r="AV31" i="5" s="1"/>
  <c r="AV25" i="5"/>
  <c r="AV27" i="5" s="1"/>
  <c r="AV21" i="5"/>
  <c r="AV23" i="5" s="1"/>
  <c r="AV17" i="5"/>
  <c r="AV19" i="5" s="1"/>
  <c r="AY123" i="5" l="1"/>
  <c r="AY127" i="5" s="1"/>
  <c r="AV153" i="5" l="1"/>
  <c r="AV8" i="5" l="1"/>
  <c r="AV10" i="5" s="1"/>
  <c r="U67" i="8"/>
  <c r="X67" i="8"/>
  <c r="AA67" i="8"/>
  <c r="AD67" i="8"/>
  <c r="AG67" i="8"/>
  <c r="AJ67" i="8"/>
  <c r="AM67" i="8"/>
  <c r="AP67" i="8"/>
  <c r="U68" i="8"/>
  <c r="X68" i="8"/>
  <c r="AA68" i="8"/>
  <c r="AD68" i="8"/>
  <c r="AG68" i="8"/>
  <c r="AJ68" i="8"/>
  <c r="AM68" i="8"/>
  <c r="AP68" i="8"/>
  <c r="AG65" i="8"/>
  <c r="AJ65" i="8"/>
  <c r="AM65" i="8"/>
  <c r="AP65" i="8"/>
  <c r="AU260" i="5"/>
  <c r="AU253" i="5"/>
  <c r="AU240" i="5"/>
  <c r="AU231" i="5"/>
  <c r="AU241" i="5" s="1"/>
  <c r="AU215" i="5"/>
  <c r="AU221" i="5"/>
  <c r="AR193" i="5"/>
  <c r="AS193" i="5"/>
  <c r="AU193" i="5"/>
  <c r="AU180" i="5"/>
  <c r="AV180" i="5" s="1"/>
  <c r="AU167" i="5"/>
  <c r="AV167" i="5" s="1"/>
  <c r="AU162" i="5"/>
  <c r="AV162" i="5" s="1"/>
  <c r="AV163" i="5" s="1"/>
  <c r="AV168" i="5" s="1"/>
  <c r="AU145" i="5"/>
  <c r="AU142" i="5"/>
  <c r="AU133" i="5"/>
  <c r="AU131" i="5"/>
  <c r="AU110" i="5"/>
  <c r="AU111" i="5" s="1"/>
  <c r="AU118" i="5" s="1"/>
  <c r="AU123" i="5" s="1"/>
  <c r="AU127" i="5" s="1"/>
  <c r="AU117" i="5"/>
  <c r="AU125" i="5" s="1"/>
  <c r="AU103" i="5"/>
  <c r="AU102" i="5"/>
  <c r="AU101" i="5"/>
  <c r="AU100" i="5"/>
  <c r="AU99" i="5"/>
  <c r="AU73" i="5"/>
  <c r="AU74" i="5" s="1"/>
  <c r="AU56" i="5"/>
  <c r="AU64" i="5" s="1"/>
  <c r="AU65" i="5" s="1"/>
  <c r="AU62" i="5"/>
  <c r="AU222" i="5" l="1"/>
  <c r="AU242" i="5" s="1"/>
  <c r="AU254" i="5" s="1"/>
  <c r="AU255" i="5" s="1"/>
  <c r="AU163" i="5"/>
  <c r="AU168" i="5" s="1"/>
  <c r="AU172" i="5" s="1"/>
  <c r="AU47" i="5"/>
  <c r="AU8" i="5"/>
  <c r="AU100" i="8"/>
  <c r="AU88" i="8"/>
  <c r="AU89" i="8" s="1"/>
  <c r="AU79" i="8"/>
  <c r="AU80" i="8" s="1"/>
  <c r="AU69" i="8"/>
  <c r="AU70" i="8" s="1"/>
  <c r="AU58" i="8"/>
  <c r="AU56" i="8"/>
  <c r="AU55" i="8"/>
  <c r="AU54" i="8"/>
  <c r="AU53" i="8"/>
  <c r="AU52" i="8"/>
  <c r="AU32" i="8"/>
  <c r="AU33" i="8" s="1"/>
  <c r="AU21" i="8"/>
  <c r="AU18" i="8"/>
  <c r="AU23" i="8" s="1"/>
  <c r="AU17" i="8"/>
  <c r="AU16" i="8"/>
  <c r="AU13" i="8"/>
  <c r="AU12" i="8"/>
  <c r="AU11" i="8"/>
  <c r="AU10" i="8"/>
  <c r="AU9" i="8"/>
  <c r="AU6" i="8"/>
  <c r="AT61" i="5"/>
  <c r="AT253" i="5"/>
  <c r="AT240" i="5"/>
  <c r="AT231" i="5"/>
  <c r="AT241" i="5" s="1"/>
  <c r="AT221" i="5"/>
  <c r="AT215" i="5"/>
  <c r="AT222" i="5" s="1"/>
  <c r="AT242" i="5" s="1"/>
  <c r="AT254" i="5" s="1"/>
  <c r="AT255" i="5" s="1"/>
  <c r="AK193" i="5"/>
  <c r="AT203" i="5"/>
  <c r="AS203" i="5"/>
  <c r="AT196" i="5"/>
  <c r="AT195" i="5"/>
  <c r="AT190" i="5"/>
  <c r="AP190" i="5"/>
  <c r="AM190" i="5"/>
  <c r="AJ190" i="5"/>
  <c r="AG190" i="5"/>
  <c r="AT192" i="5"/>
  <c r="AT191" i="5"/>
  <c r="AT189" i="5"/>
  <c r="AT188" i="5"/>
  <c r="AT187" i="5"/>
  <c r="AT186" i="5"/>
  <c r="AT185" i="5"/>
  <c r="AT184" i="5"/>
  <c r="AT183" i="5"/>
  <c r="AT182" i="5"/>
  <c r="AS180" i="5"/>
  <c r="AT179" i="5"/>
  <c r="AT178" i="5"/>
  <c r="AT177" i="5"/>
  <c r="AT176" i="5"/>
  <c r="AT175" i="5"/>
  <c r="AT174" i="5"/>
  <c r="AT171" i="5"/>
  <c r="AT170" i="5"/>
  <c r="AS167" i="5"/>
  <c r="AT166" i="5"/>
  <c r="AT165" i="5"/>
  <c r="AT167" i="5" s="1"/>
  <c r="AS162" i="5"/>
  <c r="AS163" i="5" s="1"/>
  <c r="AS168" i="5" s="1"/>
  <c r="AS172" i="5" s="1"/>
  <c r="AS194" i="5" s="1"/>
  <c r="AT156" i="5"/>
  <c r="AT157" i="5"/>
  <c r="AT158" i="5"/>
  <c r="AT159" i="5"/>
  <c r="AT160" i="5"/>
  <c r="AT161" i="5"/>
  <c r="AT155" i="5"/>
  <c r="AS150" i="5"/>
  <c r="AS149" i="5"/>
  <c r="AT193" i="5" l="1"/>
  <c r="AU194" i="5"/>
  <c r="AV194" i="5" s="1"/>
  <c r="AV172" i="5"/>
  <c r="AU22" i="8"/>
  <c r="AT162" i="5"/>
  <c r="AT163" i="5" s="1"/>
  <c r="AT168" i="5" s="1"/>
  <c r="AT172" i="5" s="1"/>
  <c r="AT180" i="5"/>
  <c r="AT194" i="5" l="1"/>
  <c r="AT197" i="5" s="1"/>
  <c r="AS23" i="5"/>
  <c r="AR23" i="5"/>
  <c r="AS19" i="5"/>
  <c r="AU195" i="5" l="1"/>
  <c r="AU197" i="5" s="1"/>
  <c r="AT204" i="5"/>
  <c r="AS260" i="5"/>
  <c r="AT260" i="5"/>
  <c r="AT257" i="5"/>
  <c r="AS257" i="5"/>
  <c r="AT145" i="5"/>
  <c r="AW146" i="5" s="1"/>
  <c r="AR144" i="5"/>
  <c r="AT144" i="5"/>
  <c r="AT142" i="5"/>
  <c r="AS141" i="5"/>
  <c r="AT138" i="5"/>
  <c r="AT139" i="5"/>
  <c r="AS132" i="5"/>
  <c r="AV133" i="5" s="1"/>
  <c r="AS130" i="5"/>
  <c r="AT133" i="5"/>
  <c r="AT131" i="5"/>
  <c r="AS125" i="5"/>
  <c r="AT125" i="5"/>
  <c r="AT111" i="5"/>
  <c r="AT118" i="5" s="1"/>
  <c r="AT123" i="5" s="1"/>
  <c r="AT127" i="5" s="1"/>
  <c r="AS111" i="5"/>
  <c r="AS118" i="5" s="1"/>
  <c r="AS123" i="5" s="1"/>
  <c r="AS127" i="5" s="1"/>
  <c r="AS94" i="5"/>
  <c r="AS96" i="5" s="1"/>
  <c r="AT94" i="5"/>
  <c r="AT96" i="5" s="1"/>
  <c r="AS92" i="5"/>
  <c r="AT90" i="5"/>
  <c r="AT92" i="5" s="1"/>
  <c r="AS86" i="5"/>
  <c r="AS88" i="5" s="1"/>
  <c r="AT86" i="5"/>
  <c r="AT88" i="5" s="1"/>
  <c r="AS82" i="5"/>
  <c r="AS84" i="5" s="1"/>
  <c r="AT82" i="5"/>
  <c r="AT84" i="5" s="1"/>
  <c r="AS78" i="5"/>
  <c r="AS80" i="5" s="1"/>
  <c r="AT78" i="5"/>
  <c r="AT80" i="5" s="1"/>
  <c r="AT71" i="5"/>
  <c r="AS71" i="5"/>
  <c r="AS64" i="5"/>
  <c r="AT64" i="5"/>
  <c r="AT65" i="5" s="1"/>
  <c r="AS65" i="5"/>
  <c r="AS61" i="5"/>
  <c r="AS62" i="5" s="1"/>
  <c r="AT62" i="5"/>
  <c r="AS41" i="5"/>
  <c r="AT41" i="5"/>
  <c r="AS45" i="5"/>
  <c r="AT45" i="5"/>
  <c r="AS47" i="5"/>
  <c r="AT47" i="5"/>
  <c r="AS29" i="5"/>
  <c r="AS31" i="5" s="1"/>
  <c r="AT29" i="5"/>
  <c r="AT31" i="5" s="1"/>
  <c r="AS33" i="5"/>
  <c r="AS35" i="5" s="1"/>
  <c r="AT33" i="5"/>
  <c r="AT35" i="5" s="1"/>
  <c r="AS25" i="5"/>
  <c r="AS27" i="5" s="1"/>
  <c r="AT25" i="5"/>
  <c r="AT27" i="5" s="1"/>
  <c r="AT21" i="5"/>
  <c r="AT23" i="5" s="1"/>
  <c r="AT17" i="5"/>
  <c r="AT8" i="5"/>
  <c r="AS145" i="5" l="1"/>
  <c r="AV146" i="5" s="1"/>
  <c r="AV142" i="5"/>
  <c r="AS138" i="5"/>
  <c r="AV131" i="5"/>
  <c r="AU204" i="5"/>
  <c r="AV197" i="5"/>
  <c r="AS73" i="5"/>
  <c r="AS74" i="5" s="1"/>
  <c r="AS139" i="5"/>
  <c r="AT73" i="5"/>
  <c r="AT74" i="5" s="1"/>
  <c r="I35" i="4"/>
  <c r="I34" i="4"/>
  <c r="AT6" i="8"/>
  <c r="AT9" i="8"/>
  <c r="AT10" i="8"/>
  <c r="AT11" i="8"/>
  <c r="AT12" i="8"/>
  <c r="AT13" i="8"/>
  <c r="AT16" i="8"/>
  <c r="AT17" i="8"/>
  <c r="AT18" i="8"/>
  <c r="AT23" i="8" s="1"/>
  <c r="AT21" i="8"/>
  <c r="AT32" i="8"/>
  <c r="AT33" i="8" s="1"/>
  <c r="AT52" i="8"/>
  <c r="AT53" i="8"/>
  <c r="AT54" i="8"/>
  <c r="AT55" i="8"/>
  <c r="AT56" i="8"/>
  <c r="AT58" i="8"/>
  <c r="AT69" i="8"/>
  <c r="AT70" i="8" s="1"/>
  <c r="AT79" i="8"/>
  <c r="AT80" i="8" s="1"/>
  <c r="AT88" i="8"/>
  <c r="AT89" i="8" s="1"/>
  <c r="AT100" i="8"/>
  <c r="AS6" i="8"/>
  <c r="AS9" i="8"/>
  <c r="AS10" i="8"/>
  <c r="AS11" i="8"/>
  <c r="AS12" i="8"/>
  <c r="AS13" i="8"/>
  <c r="AS16" i="8"/>
  <c r="AS17" i="8"/>
  <c r="AS18" i="8"/>
  <c r="AS23" i="8" s="1"/>
  <c r="AS21" i="8"/>
  <c r="AS32" i="8"/>
  <c r="AS33" i="8" s="1"/>
  <c r="AS52" i="8"/>
  <c r="AS53" i="8"/>
  <c r="AS54" i="8"/>
  <c r="AS55" i="8"/>
  <c r="AS56" i="8"/>
  <c r="AS58" i="8"/>
  <c r="AS69" i="8"/>
  <c r="AS70" i="8" s="1"/>
  <c r="AS79" i="8"/>
  <c r="AS80" i="8" s="1"/>
  <c r="AS88" i="8"/>
  <c r="AS89" i="8" s="1"/>
  <c r="AS100" i="8"/>
  <c r="AT14" i="5"/>
  <c r="AR260" i="5"/>
  <c r="AR257" i="5"/>
  <c r="AR253" i="5"/>
  <c r="AR240" i="5"/>
  <c r="AR231" i="5"/>
  <c r="AR221" i="5"/>
  <c r="AR215" i="5"/>
  <c r="AR180" i="5"/>
  <c r="AR167" i="5"/>
  <c r="AR222" i="5" l="1"/>
  <c r="AR241" i="5"/>
  <c r="AR242" i="5"/>
  <c r="AR254" i="5" s="1"/>
  <c r="AR255" i="5" s="1"/>
  <c r="AS22" i="8"/>
  <c r="AT22" i="8"/>
  <c r="AR162" i="5"/>
  <c r="AR100" i="8"/>
  <c r="AR88" i="8"/>
  <c r="AR89" i="8" s="1"/>
  <c r="AR79" i="8"/>
  <c r="AR80" i="8" s="1"/>
  <c r="AR69" i="8"/>
  <c r="AR70" i="8" s="1"/>
  <c r="AR58" i="8"/>
  <c r="AR56" i="8"/>
  <c r="AR55" i="8"/>
  <c r="AR54" i="8"/>
  <c r="AR53" i="8"/>
  <c r="AR52" i="8"/>
  <c r="AR32" i="8"/>
  <c r="AR33" i="8" s="1"/>
  <c r="AR21" i="8"/>
  <c r="AR18" i="8"/>
  <c r="AR23" i="8" s="1"/>
  <c r="AR17" i="8"/>
  <c r="AR16" i="8"/>
  <c r="AR13" i="8"/>
  <c r="AR12" i="8"/>
  <c r="AR11" i="8"/>
  <c r="AR10" i="8"/>
  <c r="AR9" i="8"/>
  <c r="AR6" i="8"/>
  <c r="AR142" i="5"/>
  <c r="AR145" i="5"/>
  <c r="AU146" i="5" s="1"/>
  <c r="AR139" i="5"/>
  <c r="AR138" i="5"/>
  <c r="AR133" i="5"/>
  <c r="AR131" i="5"/>
  <c r="AR111" i="5"/>
  <c r="AR118" i="5" s="1"/>
  <c r="AR123" i="5" s="1"/>
  <c r="AR127" i="5" s="1"/>
  <c r="AR117" i="5"/>
  <c r="AR125" i="5" s="1"/>
  <c r="AR90" i="5"/>
  <c r="AR92" i="5" s="1"/>
  <c r="AR86" i="5"/>
  <c r="AR88" i="5" s="1"/>
  <c r="AR82" i="5"/>
  <c r="AR84" i="5" s="1"/>
  <c r="AR78" i="5"/>
  <c r="AR80" i="5" s="1"/>
  <c r="AR71" i="5"/>
  <c r="AR64" i="5"/>
  <c r="AR65" i="5" s="1"/>
  <c r="AR61" i="5"/>
  <c r="AR62" i="5" s="1"/>
  <c r="AR45" i="5"/>
  <c r="AR41" i="5"/>
  <c r="AR33" i="5"/>
  <c r="AR29" i="5"/>
  <c r="AR31" i="5" s="1"/>
  <c r="AR25" i="5"/>
  <c r="AR27" i="5" s="1"/>
  <c r="AR17" i="5"/>
  <c r="AR19" i="5" s="1"/>
  <c r="AR22" i="8" l="1"/>
  <c r="AR73" i="5"/>
  <c r="AR74" i="5" s="1"/>
  <c r="AR153" i="5"/>
  <c r="AR163" i="5" s="1"/>
  <c r="AR168" i="5" s="1"/>
  <c r="AR172" i="5" s="1"/>
  <c r="AR194" i="5" s="1"/>
  <c r="AR8" i="5"/>
  <c r="AP132" i="5" l="1"/>
  <c r="AS133" i="5" s="1"/>
  <c r="AP130" i="5"/>
  <c r="AS131" i="5" s="1"/>
  <c r="AP143" i="5"/>
  <c r="AS144" i="5" s="1"/>
  <c r="AP141" i="5"/>
  <c r="AQ94" i="5"/>
  <c r="AH17" i="5"/>
  <c r="AP98" i="8"/>
  <c r="AP97" i="8"/>
  <c r="AP96" i="8"/>
  <c r="AP95" i="8"/>
  <c r="AP94" i="8"/>
  <c r="AP93" i="8"/>
  <c r="AP92" i="8"/>
  <c r="AP87" i="8"/>
  <c r="AP86" i="8"/>
  <c r="AP85" i="8"/>
  <c r="AP84" i="8"/>
  <c r="AP83" i="8"/>
  <c r="AQ114" i="5"/>
  <c r="AN114" i="5"/>
  <c r="AP183" i="5"/>
  <c r="AP150" i="5"/>
  <c r="AP149" i="5"/>
  <c r="AQ253" i="5"/>
  <c r="AQ207" i="5"/>
  <c r="AQ221" i="5"/>
  <c r="AQ240" i="5"/>
  <c r="AQ231" i="5"/>
  <c r="AL32" i="4"/>
  <c r="AQ14" i="5"/>
  <c r="AQ97" i="5"/>
  <c r="AQ145" i="5"/>
  <c r="AT146" i="5" s="1"/>
  <c r="AQ144" i="5"/>
  <c r="AO144" i="5"/>
  <c r="AN144" i="5"/>
  <c r="AL144" i="5"/>
  <c r="AQ142" i="5"/>
  <c r="AO142" i="5"/>
  <c r="AN142" i="5"/>
  <c r="AL142" i="5"/>
  <c r="AQ117" i="5"/>
  <c r="AQ99" i="8"/>
  <c r="AQ100" i="8" s="1"/>
  <c r="AQ88" i="8"/>
  <c r="AQ89" i="8" s="1"/>
  <c r="AP78" i="8"/>
  <c r="AP77" i="8"/>
  <c r="AP76" i="8"/>
  <c r="AP75" i="8"/>
  <c r="AP74" i="8"/>
  <c r="AP73" i="8"/>
  <c r="AQ79" i="8"/>
  <c r="AQ80" i="8" s="1"/>
  <c r="AP66" i="8"/>
  <c r="AP64" i="8"/>
  <c r="AP63" i="8"/>
  <c r="AP62" i="8"/>
  <c r="AP61" i="8"/>
  <c r="AQ70" i="8"/>
  <c r="AQ38" i="8"/>
  <c r="AP31" i="8"/>
  <c r="AP30" i="8"/>
  <c r="AP29" i="8"/>
  <c r="AP28" i="8"/>
  <c r="AP27" i="8"/>
  <c r="AP26" i="8"/>
  <c r="AQ32" i="8"/>
  <c r="AQ33" i="8" s="1"/>
  <c r="AQ167" i="5"/>
  <c r="AQ203" i="5"/>
  <c r="AR200" i="5" s="1"/>
  <c r="AR203" i="5" s="1"/>
  <c r="AP196" i="5"/>
  <c r="AP184" i="5"/>
  <c r="AQ182" i="5"/>
  <c r="AP182" i="5" s="1"/>
  <c r="AP193" i="5" s="1"/>
  <c r="AP179" i="5"/>
  <c r="AQ180" i="5"/>
  <c r="AP176" i="5"/>
  <c r="AP174" i="5"/>
  <c r="AP171" i="5"/>
  <c r="AP166" i="5"/>
  <c r="AP165" i="5"/>
  <c r="AP121" i="5"/>
  <c r="AQ55" i="5"/>
  <c r="AQ54" i="5"/>
  <c r="AQ56" i="5" s="1"/>
  <c r="AQ71" i="5"/>
  <c r="AP70" i="5"/>
  <c r="AP69" i="5"/>
  <c r="AP68" i="5"/>
  <c r="AP60" i="5"/>
  <c r="AP59" i="5"/>
  <c r="AP58" i="5"/>
  <c r="AQ61" i="5" l="1"/>
  <c r="AQ62" i="5" s="1"/>
  <c r="AQ43" i="8"/>
  <c r="AP145" i="5"/>
  <c r="AS146" i="5" s="1"/>
  <c r="AS142" i="5"/>
  <c r="AQ193" i="5"/>
  <c r="AP71" i="5"/>
  <c r="AP180" i="5"/>
  <c r="AQ45" i="8"/>
  <c r="AP99" i="8"/>
  <c r="AP100" i="8" s="1"/>
  <c r="AQ241" i="5"/>
  <c r="AP88" i="8"/>
  <c r="AP89" i="8" s="1"/>
  <c r="AP167" i="5"/>
  <c r="AP79" i="8"/>
  <c r="AP80" i="8" s="1"/>
  <c r="AP69" i="8"/>
  <c r="AP70" i="8" s="1"/>
  <c r="AQ73" i="5"/>
  <c r="AQ74" i="5" s="1"/>
  <c r="AQ64" i="5"/>
  <c r="AQ65" i="5" s="1"/>
  <c r="AP21" i="8"/>
  <c r="AP18" i="8"/>
  <c r="AP23" i="8" s="1"/>
  <c r="AP17" i="8"/>
  <c r="AP16" i="8"/>
  <c r="AP13" i="8"/>
  <c r="AP12" i="8"/>
  <c r="AP11" i="8"/>
  <c r="AP10" i="8"/>
  <c r="AP9" i="8"/>
  <c r="AQ56" i="8"/>
  <c r="AP56" i="8"/>
  <c r="AQ55" i="8"/>
  <c r="AP55" i="8"/>
  <c r="AQ54" i="8"/>
  <c r="AP54" i="8"/>
  <c r="AQ53" i="8"/>
  <c r="AP53" i="8"/>
  <c r="AQ52" i="8"/>
  <c r="AP52" i="8"/>
  <c r="AQ21" i="8"/>
  <c r="AQ18" i="8"/>
  <c r="AQ23" i="8" s="1"/>
  <c r="AQ17" i="8"/>
  <c r="AQ16" i="8"/>
  <c r="AQ13" i="8"/>
  <c r="AP170" i="5"/>
  <c r="AQ260" i="5"/>
  <c r="AQ215" i="5"/>
  <c r="AQ222" i="5" s="1"/>
  <c r="AP161" i="5"/>
  <c r="AP160" i="5"/>
  <c r="AP158" i="5"/>
  <c r="AP157" i="5"/>
  <c r="AP156" i="5"/>
  <c r="AP155" i="5"/>
  <c r="AQ162" i="5"/>
  <c r="AQ133" i="5"/>
  <c r="AQ131" i="5"/>
  <c r="AQ125" i="5"/>
  <c r="AQ123" i="5"/>
  <c r="AQ127" i="5" s="1"/>
  <c r="AP120" i="5"/>
  <c r="AP115" i="5"/>
  <c r="AP116" i="5"/>
  <c r="AP113" i="5"/>
  <c r="AQ111" i="5"/>
  <c r="AQ96" i="5"/>
  <c r="AQ90" i="5"/>
  <c r="AQ92" i="5" s="1"/>
  <c r="AP90" i="5"/>
  <c r="AP92" i="5" s="1"/>
  <c r="AQ86" i="5"/>
  <c r="AP86" i="5"/>
  <c r="AQ82" i="5"/>
  <c r="AQ84" i="5" s="1"/>
  <c r="AQ78" i="5"/>
  <c r="AQ80" i="5" s="1"/>
  <c r="AQ45" i="5"/>
  <c r="AQ41" i="5"/>
  <c r="AQ35" i="5"/>
  <c r="AQ31" i="5"/>
  <c r="AQ27" i="5"/>
  <c r="AQ21" i="5"/>
  <c r="AQ23" i="5" s="1"/>
  <c r="AQ17" i="5"/>
  <c r="AQ19" i="5" s="1"/>
  <c r="AQ10" i="5"/>
  <c r="AP7" i="5"/>
  <c r="AP111" i="5"/>
  <c r="AP94" i="5"/>
  <c r="AP96" i="5" s="1"/>
  <c r="AP82" i="5"/>
  <c r="AP84" i="5" s="1"/>
  <c r="AP78" i="5"/>
  <c r="AP80" i="5" s="1"/>
  <c r="AP43" i="5"/>
  <c r="AP45" i="5" s="1"/>
  <c r="AP39" i="5"/>
  <c r="AP41" i="5" s="1"/>
  <c r="AP25" i="5"/>
  <c r="AP33" i="5"/>
  <c r="AP35" i="5" s="1"/>
  <c r="AO33" i="5"/>
  <c r="AO35" i="5" s="1"/>
  <c r="AP29" i="5"/>
  <c r="AP31" i="5" s="1"/>
  <c r="AP21" i="5"/>
  <c r="AP23" i="5" s="1"/>
  <c r="AP17" i="5"/>
  <c r="AP19" i="5" s="1"/>
  <c r="AO100" i="8"/>
  <c r="AH100" i="8"/>
  <c r="AM98" i="8"/>
  <c r="AM97" i="8"/>
  <c r="AM96" i="8"/>
  <c r="AM95" i="8"/>
  <c r="AM94" i="8"/>
  <c r="AM93" i="8"/>
  <c r="AM92" i="8"/>
  <c r="AJ98" i="8"/>
  <c r="AJ97" i="8"/>
  <c r="AJ96" i="8"/>
  <c r="AJ95" i="8"/>
  <c r="AJ94" i="8"/>
  <c r="AJ93" i="8"/>
  <c r="AJ92" i="8"/>
  <c r="AG98" i="8"/>
  <c r="AG97" i="8"/>
  <c r="AG96" i="8"/>
  <c r="AG95" i="8"/>
  <c r="AG94" i="8"/>
  <c r="AG93" i="8"/>
  <c r="AG92" i="8"/>
  <c r="AD98" i="8"/>
  <c r="AD97" i="8"/>
  <c r="AD96" i="8"/>
  <c r="AD95" i="8"/>
  <c r="AD94" i="8"/>
  <c r="AD93" i="8"/>
  <c r="AD92" i="8"/>
  <c r="AN99" i="8"/>
  <c r="AN100" i="8" s="1"/>
  <c r="AM87" i="8"/>
  <c r="AM86" i="8"/>
  <c r="AM85" i="8"/>
  <c r="AM84" i="8"/>
  <c r="AM83" i="8"/>
  <c r="AJ87" i="8"/>
  <c r="AJ86" i="8"/>
  <c r="AJ85" i="8"/>
  <c r="AJ84" i="8"/>
  <c r="AJ83" i="8"/>
  <c r="AG87" i="8"/>
  <c r="AG86" i="8"/>
  <c r="AG85" i="8"/>
  <c r="AG84" i="8"/>
  <c r="AG83" i="8"/>
  <c r="AD87" i="8"/>
  <c r="AD86" i="8"/>
  <c r="AD85" i="8"/>
  <c r="AD84" i="8"/>
  <c r="AD83" i="8"/>
  <c r="AA87" i="8"/>
  <c r="AA86" i="8"/>
  <c r="AA85" i="8"/>
  <c r="AA84" i="8"/>
  <c r="AA83" i="8"/>
  <c r="AL99" i="8"/>
  <c r="AL100" i="8" s="1"/>
  <c r="AK99" i="8"/>
  <c r="AK100" i="8" s="1"/>
  <c r="AI99" i="8"/>
  <c r="AI100" i="8" s="1"/>
  <c r="AF99" i="8"/>
  <c r="AF100" i="8" s="1"/>
  <c r="AE99" i="8"/>
  <c r="AE100" i="8" s="1"/>
  <c r="AC99" i="8"/>
  <c r="AC100" i="8" s="1"/>
  <c r="X87" i="8"/>
  <c r="X86" i="8"/>
  <c r="X85" i="8"/>
  <c r="X84" i="8"/>
  <c r="X83" i="8"/>
  <c r="AO88" i="8"/>
  <c r="AO89" i="8" s="1"/>
  <c r="AN88" i="8"/>
  <c r="AN89" i="8" s="1"/>
  <c r="AL88" i="8"/>
  <c r="AL89" i="8" s="1"/>
  <c r="AK88" i="8"/>
  <c r="AK89" i="8" s="1"/>
  <c r="AI88" i="8"/>
  <c r="AI89" i="8" s="1"/>
  <c r="AH88" i="8"/>
  <c r="AH89" i="8" s="1"/>
  <c r="AF88" i="8"/>
  <c r="AF89" i="8" s="1"/>
  <c r="AE88" i="8"/>
  <c r="AE89" i="8" s="1"/>
  <c r="AC88" i="8"/>
  <c r="AC89" i="8" s="1"/>
  <c r="AB88" i="8"/>
  <c r="AB89" i="8" s="1"/>
  <c r="Z88" i="8"/>
  <c r="Z89" i="8" s="1"/>
  <c r="Y88" i="8"/>
  <c r="Y89" i="8" s="1"/>
  <c r="W88" i="8"/>
  <c r="W89" i="8" s="1"/>
  <c r="V88" i="8"/>
  <c r="V89" i="8" s="1"/>
  <c r="AO79" i="8"/>
  <c r="AN79" i="8"/>
  <c r="AN80" i="8" s="1"/>
  <c r="AL79" i="8"/>
  <c r="AL80" i="8" s="1"/>
  <c r="AK79" i="8"/>
  <c r="AK80" i="8" s="1"/>
  <c r="AI79" i="8"/>
  <c r="AI80" i="8" s="1"/>
  <c r="AH79" i="8"/>
  <c r="AH80" i="8" s="1"/>
  <c r="AF79" i="8"/>
  <c r="AF80" i="8" s="1"/>
  <c r="AE79" i="8"/>
  <c r="AE80" i="8" s="1"/>
  <c r="AC79" i="8"/>
  <c r="AC80" i="8" s="1"/>
  <c r="AB79" i="8"/>
  <c r="AB80" i="8" s="1"/>
  <c r="Z79" i="8"/>
  <c r="Z80" i="8" s="1"/>
  <c r="Y79" i="8"/>
  <c r="Y80" i="8" s="1"/>
  <c r="W79" i="8"/>
  <c r="W80" i="8" s="1"/>
  <c r="V79" i="8"/>
  <c r="V80" i="8" s="1"/>
  <c r="AO69" i="8"/>
  <c r="AO70" i="8" s="1"/>
  <c r="AH70" i="8"/>
  <c r="AO80" i="8"/>
  <c r="U87" i="8"/>
  <c r="U86" i="8"/>
  <c r="U85" i="8"/>
  <c r="U84" i="8"/>
  <c r="U83" i="8"/>
  <c r="T88" i="8"/>
  <c r="T89" i="8" s="1"/>
  <c r="AM78" i="8"/>
  <c r="AM77" i="8"/>
  <c r="AM76" i="8"/>
  <c r="AM75" i="8"/>
  <c r="AM74" i="8"/>
  <c r="AM73" i="8"/>
  <c r="AJ78" i="8"/>
  <c r="AJ77" i="8"/>
  <c r="AJ76" i="8"/>
  <c r="AJ75" i="8"/>
  <c r="AJ74" i="8"/>
  <c r="AJ73" i="8"/>
  <c r="AG78" i="8"/>
  <c r="AG77" i="8"/>
  <c r="AG76" i="8"/>
  <c r="AG75" i="8"/>
  <c r="AG74" i="8"/>
  <c r="AG73" i="8"/>
  <c r="AD78" i="8"/>
  <c r="AD77" i="8"/>
  <c r="AD76" i="8"/>
  <c r="AD75" i="8"/>
  <c r="AD74" i="8"/>
  <c r="AD73" i="8"/>
  <c r="AA78" i="8"/>
  <c r="AA77" i="8"/>
  <c r="AA76" i="8"/>
  <c r="AA75" i="8"/>
  <c r="AA74" i="8"/>
  <c r="AA73" i="8"/>
  <c r="X78" i="8"/>
  <c r="X77" i="8"/>
  <c r="X76" i="8"/>
  <c r="X75" i="8"/>
  <c r="X74" i="8"/>
  <c r="X73" i="8"/>
  <c r="U74" i="8"/>
  <c r="U75" i="8"/>
  <c r="U76" i="8"/>
  <c r="U77" i="8"/>
  <c r="U78" i="8"/>
  <c r="U73" i="8"/>
  <c r="T79" i="8"/>
  <c r="T80" i="8" s="1"/>
  <c r="AM66" i="8"/>
  <c r="AM64" i="8"/>
  <c r="AM63" i="8"/>
  <c r="AM62" i="8"/>
  <c r="AM61" i="8"/>
  <c r="AJ66" i="8"/>
  <c r="AJ64" i="8"/>
  <c r="AJ63" i="8"/>
  <c r="AJ62" i="8"/>
  <c r="AJ61" i="8"/>
  <c r="AG66" i="8"/>
  <c r="AG64" i="8"/>
  <c r="AG63" i="8"/>
  <c r="AG62" i="8"/>
  <c r="AG61" i="8"/>
  <c r="AD66" i="8"/>
  <c r="AD64" i="8"/>
  <c r="AD63" i="8"/>
  <c r="AD62" i="8"/>
  <c r="AD61" i="8"/>
  <c r="AA66" i="8"/>
  <c r="AA64" i="8"/>
  <c r="AA63" i="8"/>
  <c r="AA62" i="8"/>
  <c r="AA61" i="8"/>
  <c r="X66" i="8"/>
  <c r="X64" i="8"/>
  <c r="X63" i="8"/>
  <c r="X62" i="8"/>
  <c r="X61" i="8"/>
  <c r="U66" i="8"/>
  <c r="U64" i="8"/>
  <c r="U63" i="8"/>
  <c r="U62" i="8"/>
  <c r="U61" i="8"/>
  <c r="AN69" i="8"/>
  <c r="AN70" i="8" s="1"/>
  <c r="AL69" i="8"/>
  <c r="AL70" i="8" s="1"/>
  <c r="AK69" i="8"/>
  <c r="AK70" i="8" s="1"/>
  <c r="AI69" i="8"/>
  <c r="AI70" i="8" s="1"/>
  <c r="AF69" i="8"/>
  <c r="AF70" i="8" s="1"/>
  <c r="AE69" i="8"/>
  <c r="AE70" i="8" s="1"/>
  <c r="AC69" i="8"/>
  <c r="AC70" i="8" s="1"/>
  <c r="AB69" i="8"/>
  <c r="AB70" i="8" s="1"/>
  <c r="Z69" i="8"/>
  <c r="Z70" i="8" s="1"/>
  <c r="Y69" i="8"/>
  <c r="Y70" i="8" s="1"/>
  <c r="W69" i="8"/>
  <c r="W70" i="8" s="1"/>
  <c r="V69" i="8"/>
  <c r="V70" i="8" s="1"/>
  <c r="T69" i="8"/>
  <c r="T70" i="8" s="1"/>
  <c r="AQ58" i="8"/>
  <c r="AP58" i="8"/>
  <c r="AO58" i="8"/>
  <c r="AN58" i="8"/>
  <c r="AM58" i="8"/>
  <c r="AL58" i="8"/>
  <c r="AK58" i="8"/>
  <c r="AJ58" i="8"/>
  <c r="AI58" i="8"/>
  <c r="AH58" i="8"/>
  <c r="AG58" i="8"/>
  <c r="AF58" i="8"/>
  <c r="AE58" i="8"/>
  <c r="AD58" i="8"/>
  <c r="AC58" i="8"/>
  <c r="AB58" i="8"/>
  <c r="AA58" i="8"/>
  <c r="Z58" i="8"/>
  <c r="Y58" i="8"/>
  <c r="X58" i="8"/>
  <c r="W58" i="8"/>
  <c r="V58" i="8"/>
  <c r="U58" i="8"/>
  <c r="T58" i="8"/>
  <c r="AO114" i="5"/>
  <c r="AP114" i="5" s="1"/>
  <c r="AO71" i="5"/>
  <c r="AO32" i="8"/>
  <c r="AO33" i="8" s="1"/>
  <c r="AM31" i="8"/>
  <c r="AM30" i="8"/>
  <c r="AM29" i="8"/>
  <c r="AM28" i="8"/>
  <c r="AM27" i="8"/>
  <c r="AM26" i="8"/>
  <c r="AO10" i="8"/>
  <c r="AO260" i="5"/>
  <c r="AO253" i="5"/>
  <c r="AO240" i="5"/>
  <c r="AO231" i="5"/>
  <c r="AO241" i="5" s="1"/>
  <c r="AO221" i="5"/>
  <c r="AO215" i="5"/>
  <c r="AL215" i="5"/>
  <c r="AO207" i="5"/>
  <c r="AN207" i="5"/>
  <c r="AJ141" i="5"/>
  <c r="AO193" i="5"/>
  <c r="AO180" i="5"/>
  <c r="AO162" i="5"/>
  <c r="AO145" i="5"/>
  <c r="AR146" i="5" s="1"/>
  <c r="AO139" i="5"/>
  <c r="AP139" i="5" s="1"/>
  <c r="AO138" i="5"/>
  <c r="AO133" i="5"/>
  <c r="AO131" i="5"/>
  <c r="AO122" i="5"/>
  <c r="AQ242" i="5" l="1"/>
  <c r="AQ254" i="5" s="1"/>
  <c r="AQ255" i="5" s="1"/>
  <c r="AQ46" i="8"/>
  <c r="AQ47" i="8" s="1"/>
  <c r="AP12" i="5"/>
  <c r="AS8" i="5"/>
  <c r="AP162" i="5"/>
  <c r="AQ163" i="5"/>
  <c r="AQ168" i="5" s="1"/>
  <c r="AQ172" i="5" s="1"/>
  <c r="AQ194" i="5" s="1"/>
  <c r="AP22" i="8"/>
  <c r="AP117" i="5"/>
  <c r="AP125" i="5" s="1"/>
  <c r="AQ22" i="8"/>
  <c r="U79" i="8"/>
  <c r="U80" i="8" s="1"/>
  <c r="AP32" i="8"/>
  <c r="AP33" i="8" s="1"/>
  <c r="AG79" i="8"/>
  <c r="AG80" i="8" s="1"/>
  <c r="AD69" i="8"/>
  <c r="AD70" i="8" s="1"/>
  <c r="AA69" i="8"/>
  <c r="AA70" i="8" s="1"/>
  <c r="AA88" i="8"/>
  <c r="AA89" i="8" s="1"/>
  <c r="AA79" i="8"/>
  <c r="AA80" i="8" s="1"/>
  <c r="AD79" i="8"/>
  <c r="AD80" i="8" s="1"/>
  <c r="AM79" i="8"/>
  <c r="AM80" i="8" s="1"/>
  <c r="U88" i="8"/>
  <c r="U89" i="8" s="1"/>
  <c r="AG88" i="8"/>
  <c r="AG89" i="8" s="1"/>
  <c r="AM99" i="8"/>
  <c r="AM100" i="8" s="1"/>
  <c r="X79" i="8"/>
  <c r="X80" i="8" s="1"/>
  <c r="AJ79" i="8"/>
  <c r="AJ80" i="8" s="1"/>
  <c r="AJ69" i="8"/>
  <c r="AJ70" i="8" s="1"/>
  <c r="X69" i="8"/>
  <c r="X70" i="8" s="1"/>
  <c r="AG69" i="8"/>
  <c r="AG70" i="8" s="1"/>
  <c r="AM88" i="8"/>
  <c r="AM89" i="8" s="1"/>
  <c r="AD99" i="8"/>
  <c r="AD100" i="8" s="1"/>
  <c r="AM69" i="8"/>
  <c r="AM70" i="8" s="1"/>
  <c r="AO12" i="8"/>
  <c r="AO13" i="8"/>
  <c r="AO21" i="8"/>
  <c r="AO11" i="8"/>
  <c r="AO9" i="8"/>
  <c r="AJ99" i="8"/>
  <c r="AJ100" i="8" s="1"/>
  <c r="U69" i="8"/>
  <c r="U70" i="8" s="1"/>
  <c r="AG99" i="8"/>
  <c r="AG100" i="8" s="1"/>
  <c r="X88" i="8"/>
  <c r="X89" i="8" s="1"/>
  <c r="AD88" i="8"/>
  <c r="AD89" i="8" s="1"/>
  <c r="AJ88" i="8"/>
  <c r="AJ89" i="8" s="1"/>
  <c r="AO222" i="5"/>
  <c r="AO242" i="5" s="1"/>
  <c r="AO254" i="5" s="1"/>
  <c r="AO255" i="5" s="1"/>
  <c r="AO110" i="5" l="1"/>
  <c r="AO102" i="5"/>
  <c r="AO101" i="5"/>
  <c r="AO100" i="5"/>
  <c r="AO99" i="5"/>
  <c r="AO82" i="5"/>
  <c r="AO84" i="5" s="1"/>
  <c r="AO78" i="5"/>
  <c r="AO80" i="5" s="1"/>
  <c r="AO93" i="5"/>
  <c r="AR94" i="5" s="1"/>
  <c r="AR96" i="5" s="1"/>
  <c r="AO46" i="5"/>
  <c r="AR47" i="5" s="1"/>
  <c r="AN46" i="5"/>
  <c r="AQ47" i="5" s="1"/>
  <c r="AO8" i="5"/>
  <c r="AO10" i="5" s="1"/>
  <c r="AO43" i="5"/>
  <c r="AO45" i="5" s="1"/>
  <c r="AO39" i="5"/>
  <c r="AO41" i="5" s="1"/>
  <c r="AO29" i="5"/>
  <c r="AO31" i="5" s="1"/>
  <c r="AO25" i="5"/>
  <c r="AO27" i="5" s="1"/>
  <c r="AO21" i="5"/>
  <c r="AO23" i="5" s="1"/>
  <c r="AO17" i="5"/>
  <c r="AO19" i="5" s="1"/>
  <c r="AO12" i="5"/>
  <c r="AQ12" i="5" s="1"/>
  <c r="AO61" i="5" l="1"/>
  <c r="AO73" i="5" s="1"/>
  <c r="AO74" i="5" s="1"/>
  <c r="AO54" i="8"/>
  <c r="AO53" i="8"/>
  <c r="AO56" i="8"/>
  <c r="AO52" i="8"/>
  <c r="AO117" i="5"/>
  <c r="AO125" i="5" s="1"/>
  <c r="AO55" i="8"/>
  <c r="AO103" i="5"/>
  <c r="AO18" i="8"/>
  <c r="AO23" i="8" s="1"/>
  <c r="AO22" i="8" s="1"/>
  <c r="AO17" i="8"/>
  <c r="AO16" i="8"/>
  <c r="AO111" i="5"/>
  <c r="AN133" i="5"/>
  <c r="AM196" i="5"/>
  <c r="AM183" i="5"/>
  <c r="AM182" i="5"/>
  <c r="AM179" i="5"/>
  <c r="AM176" i="5"/>
  <c r="AM174" i="5"/>
  <c r="AM171" i="5"/>
  <c r="AM170" i="5"/>
  <c r="AM169" i="5"/>
  <c r="AM166" i="5"/>
  <c r="AM165" i="5"/>
  <c r="AM160" i="5"/>
  <c r="AM159" i="5"/>
  <c r="AM158" i="5"/>
  <c r="AM157" i="5"/>
  <c r="AM156" i="5"/>
  <c r="AM155" i="5"/>
  <c r="AN253" i="5"/>
  <c r="AN240" i="5"/>
  <c r="AN231" i="5"/>
  <c r="AN221" i="5"/>
  <c r="AN215" i="5"/>
  <c r="AN222" i="5" s="1"/>
  <c r="AN203" i="5"/>
  <c r="AO200" i="5" s="1"/>
  <c r="AO203" i="5" s="1"/>
  <c r="AN193" i="5"/>
  <c r="AN180" i="5"/>
  <c r="AN167" i="5"/>
  <c r="AN162" i="5"/>
  <c r="AN32" i="8"/>
  <c r="AN14" i="5"/>
  <c r="AM56" i="8"/>
  <c r="AM55" i="8"/>
  <c r="AM54" i="8"/>
  <c r="AM53" i="8"/>
  <c r="AM52" i="8"/>
  <c r="AM21" i="8"/>
  <c r="AN21" i="8"/>
  <c r="AN18" i="8"/>
  <c r="AN23" i="8" s="1"/>
  <c r="AN17" i="8"/>
  <c r="AN16" i="8"/>
  <c r="AM13" i="8"/>
  <c r="AM12" i="8"/>
  <c r="AM11" i="8"/>
  <c r="AM10" i="8"/>
  <c r="AM9" i="8"/>
  <c r="AN13" i="8"/>
  <c r="AN12" i="8"/>
  <c r="AN11" i="8"/>
  <c r="AN10" i="8"/>
  <c r="AN9" i="8"/>
  <c r="AN55" i="8"/>
  <c r="AN54" i="8"/>
  <c r="AN53" i="8"/>
  <c r="AN52" i="8"/>
  <c r="AN56" i="8"/>
  <c r="AN38" i="8"/>
  <c r="AM150" i="5"/>
  <c r="AM149" i="5"/>
  <c r="AM143" i="5"/>
  <c r="AP144" i="5" s="1"/>
  <c r="AM141" i="5"/>
  <c r="AM137" i="5"/>
  <c r="AM136" i="5"/>
  <c r="AM132" i="5"/>
  <c r="AP133" i="5" s="1"/>
  <c r="AM130" i="5"/>
  <c r="AP131" i="5" s="1"/>
  <c r="AM121" i="5"/>
  <c r="AM120" i="5"/>
  <c r="AM116" i="5"/>
  <c r="AM115" i="5"/>
  <c r="AM113" i="5"/>
  <c r="AN110" i="5"/>
  <c r="AN111" i="5" s="1"/>
  <c r="AM110" i="5"/>
  <c r="AM111" i="5" s="1"/>
  <c r="AM103" i="5"/>
  <c r="AM102" i="5"/>
  <c r="AM101" i="5"/>
  <c r="AM100" i="5"/>
  <c r="AM99" i="5"/>
  <c r="AM90" i="5"/>
  <c r="AM92" i="5" s="1"/>
  <c r="AM86" i="5"/>
  <c r="AM82" i="5"/>
  <c r="AM84" i="5" s="1"/>
  <c r="AM78" i="5"/>
  <c r="AM80" i="5" s="1"/>
  <c r="AM70" i="5"/>
  <c r="AM69" i="5"/>
  <c r="AM68" i="5"/>
  <c r="AM7" i="5"/>
  <c r="AM46" i="5"/>
  <c r="AM43" i="5"/>
  <c r="AM45" i="5" s="1"/>
  <c r="AM39" i="5"/>
  <c r="AM41" i="5" s="1"/>
  <c r="AM33" i="5"/>
  <c r="AM35" i="5" s="1"/>
  <c r="AM29" i="5"/>
  <c r="AM31" i="5" s="1"/>
  <c r="AM25" i="5"/>
  <c r="AM21" i="5"/>
  <c r="AM23" i="5" s="1"/>
  <c r="AM17" i="5"/>
  <c r="AM19" i="5" s="1"/>
  <c r="AM60" i="5"/>
  <c r="AM59" i="5"/>
  <c r="AM58" i="5"/>
  <c r="AN8" i="5"/>
  <c r="AN10" i="5" s="1"/>
  <c r="AN145" i="5"/>
  <c r="AQ146" i="5" s="1"/>
  <c r="AN131" i="5"/>
  <c r="AN260" i="5"/>
  <c r="AN122" i="5"/>
  <c r="AM122" i="5" s="1"/>
  <c r="AN117" i="5"/>
  <c r="AN125" i="5" s="1"/>
  <c r="AN103" i="5"/>
  <c r="AN102" i="5"/>
  <c r="AN101" i="5"/>
  <c r="AN100" i="5"/>
  <c r="AN99" i="5"/>
  <c r="AN97" i="5"/>
  <c r="AN90" i="5"/>
  <c r="AN92" i="5" s="1"/>
  <c r="AN86" i="5"/>
  <c r="AN82" i="5"/>
  <c r="AN84" i="5" s="1"/>
  <c r="AN78" i="5"/>
  <c r="AN80" i="5" s="1"/>
  <c r="AN71" i="5"/>
  <c r="AN56" i="5"/>
  <c r="AN43" i="8" s="1"/>
  <c r="AN43" i="5"/>
  <c r="AN45" i="5" s="1"/>
  <c r="AN39" i="5"/>
  <c r="AM180" i="5" l="1"/>
  <c r="AM193" i="5"/>
  <c r="AM16" i="8"/>
  <c r="AP47" i="5"/>
  <c r="AM18" i="8"/>
  <c r="AM23" i="8" s="1"/>
  <c r="AM22" i="8" s="1"/>
  <c r="AM12" i="5"/>
  <c r="AP8" i="5"/>
  <c r="AP142" i="5"/>
  <c r="AM142" i="5"/>
  <c r="AM47" i="5"/>
  <c r="AM17" i="8"/>
  <c r="AN118" i="5"/>
  <c r="AN123" i="5" s="1"/>
  <c r="AN127" i="5" s="1"/>
  <c r="AN153" i="5"/>
  <c r="AM153" i="5" s="1"/>
  <c r="AM118" i="5"/>
  <c r="AM123" i="5" s="1"/>
  <c r="AM127" i="5" s="1"/>
  <c r="AM162" i="5"/>
  <c r="AM117" i="5"/>
  <c r="AM125" i="5" s="1"/>
  <c r="AN45" i="8"/>
  <c r="AN46" i="8" s="1"/>
  <c r="AN47" i="8" s="1"/>
  <c r="AO153" i="5"/>
  <c r="AO118" i="5"/>
  <c r="AM71" i="5"/>
  <c r="AM138" i="5"/>
  <c r="AN241" i="5"/>
  <c r="AN242" i="5" s="1"/>
  <c r="AN254" i="5" s="1"/>
  <c r="AN255" i="5" s="1"/>
  <c r="AM167" i="5"/>
  <c r="AN33" i="8"/>
  <c r="AM145" i="5"/>
  <c r="AP146" i="5" s="1"/>
  <c r="AM139" i="5"/>
  <c r="AN64" i="5"/>
  <c r="AN65" i="5" s="1"/>
  <c r="AN61" i="5"/>
  <c r="AN22" i="8"/>
  <c r="AO123" i="5" l="1"/>
  <c r="AO127" i="5" s="1"/>
  <c r="AP118" i="5"/>
  <c r="AP123" i="5" s="1"/>
  <c r="AP127" i="5" s="1"/>
  <c r="AO163" i="5"/>
  <c r="AP153" i="5"/>
  <c r="AN163" i="5"/>
  <c r="AN168" i="5" s="1"/>
  <c r="AN172" i="5" s="1"/>
  <c r="AN194" i="5" s="1"/>
  <c r="AM163" i="5"/>
  <c r="AM168" i="5" s="1"/>
  <c r="AM172" i="5" s="1"/>
  <c r="AM194" i="5" s="1"/>
  <c r="AN62" i="5"/>
  <c r="AN73" i="5"/>
  <c r="AN74" i="5" s="1"/>
  <c r="AN35" i="5"/>
  <c r="AN47" i="5"/>
  <c r="AN29" i="5"/>
  <c r="AN31" i="5" s="1"/>
  <c r="AN21" i="5"/>
  <c r="AN23" i="5" s="1"/>
  <c r="AN17" i="5"/>
  <c r="AN19" i="5" s="1"/>
  <c r="AL32" i="8"/>
  <c r="AL21" i="8"/>
  <c r="AL13" i="8"/>
  <c r="AL12" i="8"/>
  <c r="AL11" i="8"/>
  <c r="AL10" i="8"/>
  <c r="AL9" i="8"/>
  <c r="AL260" i="5"/>
  <c r="AO168" i="5" l="1"/>
  <c r="AO172" i="5" s="1"/>
  <c r="AO194" i="5" s="1"/>
  <c r="AP163" i="5"/>
  <c r="AP168" i="5" s="1"/>
  <c r="AP172" i="5" s="1"/>
  <c r="AP194" i="5" s="1"/>
  <c r="AL33" i="8"/>
  <c r="AM32" i="8"/>
  <c r="AM33" i="8" s="1"/>
  <c r="AL207" i="5"/>
  <c r="AL71" i="5"/>
  <c r="AL253" i="5"/>
  <c r="AL240" i="5"/>
  <c r="AL231" i="5"/>
  <c r="AL221" i="5"/>
  <c r="AL222" i="5" s="1"/>
  <c r="AB200" i="5"/>
  <c r="AE200" i="5"/>
  <c r="AE194" i="5"/>
  <c r="AC194" i="5"/>
  <c r="AF194" i="5"/>
  <c r="AL193" i="5"/>
  <c r="AL180" i="5"/>
  <c r="AD169" i="5"/>
  <c r="AG169" i="5"/>
  <c r="AJ161" i="5"/>
  <c r="AJ160" i="5"/>
  <c r="AJ159" i="5"/>
  <c r="AJ158" i="5"/>
  <c r="AJ157" i="5"/>
  <c r="AJ156" i="5"/>
  <c r="AJ155" i="5"/>
  <c r="AG161" i="5"/>
  <c r="AG160" i="5"/>
  <c r="AG159" i="5"/>
  <c r="AG158" i="5"/>
  <c r="AG157" i="5"/>
  <c r="AG156" i="5"/>
  <c r="AG155" i="5"/>
  <c r="AJ170" i="5"/>
  <c r="AJ169" i="5"/>
  <c r="AL162" i="5"/>
  <c r="AL163" i="5" s="1"/>
  <c r="AL168" i="5" s="1"/>
  <c r="AL172" i="5" s="1"/>
  <c r="AI144" i="5"/>
  <c r="AL145" i="5"/>
  <c r="AL133" i="5"/>
  <c r="AL139" i="5"/>
  <c r="AL138" i="5"/>
  <c r="AL131" i="5"/>
  <c r="AL114" i="5"/>
  <c r="AM114" i="5" s="1"/>
  <c r="AL110" i="5"/>
  <c r="AL102" i="5"/>
  <c r="AL101" i="5"/>
  <c r="AL100" i="5"/>
  <c r="AL99" i="5"/>
  <c r="AL90" i="5"/>
  <c r="AL82" i="5"/>
  <c r="AL78" i="5"/>
  <c r="AL93" i="5"/>
  <c r="AL46" i="5"/>
  <c r="AL43" i="5"/>
  <c r="AL45" i="5" s="1"/>
  <c r="AL39" i="5"/>
  <c r="AL41" i="5" s="1"/>
  <c r="AL17" i="5"/>
  <c r="AL29" i="5"/>
  <c r="AL31" i="5" s="1"/>
  <c r="AL25" i="5"/>
  <c r="AL21" i="5"/>
  <c r="AL12" i="5"/>
  <c r="AL10" i="5"/>
  <c r="AL241" i="5" l="1"/>
  <c r="AL194" i="5"/>
  <c r="AL61" i="5"/>
  <c r="AL62" i="5" s="1"/>
  <c r="AO94" i="5"/>
  <c r="AO96" i="5" s="1"/>
  <c r="AL54" i="8"/>
  <c r="AL53" i="8"/>
  <c r="AL56" i="8"/>
  <c r="AL52" i="8"/>
  <c r="AL55" i="8"/>
  <c r="AL111" i="5"/>
  <c r="AL118" i="5" s="1"/>
  <c r="AL123" i="5" s="1"/>
  <c r="AL127" i="5" s="1"/>
  <c r="AO47" i="5"/>
  <c r="AL18" i="8"/>
  <c r="AL23" i="8" s="1"/>
  <c r="AL22" i="8" s="1"/>
  <c r="AL17" i="8"/>
  <c r="AL16" i="8"/>
  <c r="AL103" i="5"/>
  <c r="AL117" i="5"/>
  <c r="AL125" i="5" s="1"/>
  <c r="AL242" i="5"/>
  <c r="AL254" i="5" s="1"/>
  <c r="AL255" i="5" s="1"/>
  <c r="AL56" i="5"/>
  <c r="AC23" i="5"/>
  <c r="AC31" i="5"/>
  <c r="T41" i="5"/>
  <c r="T45" i="5"/>
  <c r="V80" i="5"/>
  <c r="AI80" i="5"/>
  <c r="V84" i="5"/>
  <c r="AC92" i="5"/>
  <c r="T96" i="5"/>
  <c r="V96" i="5"/>
  <c r="AB21" i="8"/>
  <c r="AB11" i="8"/>
  <c r="AL73" i="5" l="1"/>
  <c r="AL74" i="5" s="1"/>
  <c r="AL64" i="5"/>
  <c r="AL65" i="5" s="1"/>
  <c r="AM56" i="5"/>
  <c r="AK71" i="5"/>
  <c r="AM64" i="5" l="1"/>
  <c r="AM65" i="5" s="1"/>
  <c r="AM61" i="5"/>
  <c r="V111" i="5"/>
  <c r="T71" i="5"/>
  <c r="U70" i="5"/>
  <c r="U69" i="5"/>
  <c r="U68" i="5"/>
  <c r="W71" i="5"/>
  <c r="X70" i="5"/>
  <c r="X69" i="5"/>
  <c r="X68" i="5"/>
  <c r="Z71" i="5"/>
  <c r="AA70" i="5"/>
  <c r="AA69" i="5"/>
  <c r="AA68" i="5"/>
  <c r="AC71" i="5"/>
  <c r="AD70" i="5"/>
  <c r="AD69" i="5"/>
  <c r="AD68" i="5"/>
  <c r="AF71" i="5"/>
  <c r="AG70" i="5"/>
  <c r="AG69" i="5"/>
  <c r="AG68" i="5"/>
  <c r="AJ70" i="5"/>
  <c r="AJ69" i="5"/>
  <c r="AJ68" i="5"/>
  <c r="AI71" i="5"/>
  <c r="AH71" i="5"/>
  <c r="AE71" i="5"/>
  <c r="AB71" i="5"/>
  <c r="Y71" i="5"/>
  <c r="V71" i="5"/>
  <c r="AM62" i="5" l="1"/>
  <c r="AM73" i="5"/>
  <c r="AM74" i="5" s="1"/>
  <c r="AJ71" i="5"/>
  <c r="U71" i="5"/>
  <c r="AG71" i="5"/>
  <c r="AD71" i="5"/>
  <c r="AA71" i="5"/>
  <c r="X71" i="5"/>
  <c r="AK114" i="5"/>
  <c r="AJ116" i="5"/>
  <c r="AJ115" i="5"/>
  <c r="AK14" i="5"/>
  <c r="AK50" i="8"/>
  <c r="AJ50" i="8"/>
  <c r="AI50" i="8"/>
  <c r="AK41" i="8"/>
  <c r="AK38" i="8"/>
  <c r="AK32" i="8"/>
  <c r="AK33" i="8" s="1"/>
  <c r="AI32" i="8"/>
  <c r="AI33" i="8" s="1"/>
  <c r="AJ30" i="8"/>
  <c r="AJ31" i="8"/>
  <c r="AJ29" i="8"/>
  <c r="AJ28" i="8"/>
  <c r="AJ27" i="8"/>
  <c r="AJ26" i="8"/>
  <c r="AK21" i="8"/>
  <c r="AJ21" i="8"/>
  <c r="AI21" i="8"/>
  <c r="AK18" i="8"/>
  <c r="AK23" i="8" s="1"/>
  <c r="AJ18" i="8"/>
  <c r="AJ23" i="8" s="1"/>
  <c r="AK17" i="8"/>
  <c r="AJ17" i="8"/>
  <c r="AK16" i="8"/>
  <c r="AJ16" i="8"/>
  <c r="AK13" i="8"/>
  <c r="AJ13" i="8"/>
  <c r="AI13" i="8"/>
  <c r="AK12" i="8"/>
  <c r="AJ12" i="8"/>
  <c r="AI12" i="8"/>
  <c r="AK11" i="8"/>
  <c r="AJ11" i="8"/>
  <c r="AI11" i="8"/>
  <c r="AK10" i="8"/>
  <c r="AJ10" i="8"/>
  <c r="AI10" i="8"/>
  <c r="AK9" i="8"/>
  <c r="AJ9" i="8"/>
  <c r="AI9" i="8"/>
  <c r="AK260" i="5"/>
  <c r="AK253" i="5"/>
  <c r="AK240" i="5"/>
  <c r="AK231" i="5"/>
  <c r="AK221" i="5"/>
  <c r="AK215" i="5"/>
  <c r="AK207" i="5"/>
  <c r="AI207" i="5"/>
  <c r="AK203" i="5"/>
  <c r="AL200" i="5" s="1"/>
  <c r="AL203" i="5" s="1"/>
  <c r="AJ185" i="5"/>
  <c r="AJ183" i="5"/>
  <c r="AJ175" i="5"/>
  <c r="AH180" i="5"/>
  <c r="AK180" i="5"/>
  <c r="U167" i="5"/>
  <c r="X167" i="5"/>
  <c r="AB167" i="5"/>
  <c r="AA167" i="5" s="1"/>
  <c r="AE167" i="5"/>
  <c r="AH167" i="5"/>
  <c r="AK167" i="5"/>
  <c r="AJ201" i="5"/>
  <c r="AJ196" i="5"/>
  <c r="AJ187" i="5"/>
  <c r="AJ186" i="5"/>
  <c r="AJ184" i="5"/>
  <c r="AJ182" i="5"/>
  <c r="AJ179" i="5"/>
  <c r="AJ176" i="5"/>
  <c r="AJ174" i="5"/>
  <c r="AJ171" i="5"/>
  <c r="AJ166" i="5"/>
  <c r="AJ165" i="5"/>
  <c r="AK162" i="5"/>
  <c r="AJ150" i="5"/>
  <c r="AJ149" i="5"/>
  <c r="AK133" i="5"/>
  <c r="AK131" i="5"/>
  <c r="AJ143" i="5"/>
  <c r="AM144" i="5" s="1"/>
  <c r="AK144" i="5"/>
  <c r="AK142" i="5"/>
  <c r="AK145" i="5"/>
  <c r="AN146" i="5" s="1"/>
  <c r="AJ137" i="5"/>
  <c r="AJ136" i="5"/>
  <c r="AK139" i="5"/>
  <c r="AK138" i="5"/>
  <c r="AB122" i="5"/>
  <c r="AE122" i="5"/>
  <c r="AH122" i="5"/>
  <c r="AJ121" i="5"/>
  <c r="AJ120" i="5"/>
  <c r="AG121" i="5"/>
  <c r="AG120" i="5"/>
  <c r="AK122" i="5"/>
  <c r="AJ122" i="5" s="1"/>
  <c r="AJ113" i="5"/>
  <c r="AJ132" i="5"/>
  <c r="AM133" i="5" s="1"/>
  <c r="AJ130" i="5"/>
  <c r="AM131" i="5" s="1"/>
  <c r="AJ110" i="5"/>
  <c r="AK110" i="5"/>
  <c r="AK102" i="5"/>
  <c r="AJ102" i="5"/>
  <c r="AK101" i="5"/>
  <c r="AJ101" i="5"/>
  <c r="AK100" i="5"/>
  <c r="AJ100" i="5"/>
  <c r="AK99" i="5"/>
  <c r="AJ99" i="5"/>
  <c r="AK90" i="5"/>
  <c r="AK92" i="5" s="1"/>
  <c r="AK86" i="5"/>
  <c r="AK82" i="5"/>
  <c r="AK84" i="5" s="1"/>
  <c r="AK78" i="5"/>
  <c r="AK80" i="5" s="1"/>
  <c r="AJ90" i="5"/>
  <c r="AJ92" i="5" s="1"/>
  <c r="AJ86" i="5"/>
  <c r="AJ82" i="5"/>
  <c r="AJ84" i="5" s="1"/>
  <c r="AJ78" i="5"/>
  <c r="AJ80" i="5" s="1"/>
  <c r="AJ93" i="5"/>
  <c r="AK93" i="5"/>
  <c r="AK54" i="5"/>
  <c r="AK56" i="5" s="1"/>
  <c r="AJ60" i="5"/>
  <c r="AJ59" i="5"/>
  <c r="AK43" i="5"/>
  <c r="AK39" i="5"/>
  <c r="AJ47" i="5"/>
  <c r="AJ43" i="5"/>
  <c r="AJ45" i="5" s="1"/>
  <c r="AJ39" i="5"/>
  <c r="AJ41" i="5" s="1"/>
  <c r="AK33" i="5"/>
  <c r="AK35" i="5" s="1"/>
  <c r="AJ33" i="5"/>
  <c r="AJ35" i="5" s="1"/>
  <c r="AK29" i="5"/>
  <c r="AK31" i="5" s="1"/>
  <c r="AK25" i="5"/>
  <c r="AK21" i="5"/>
  <c r="AK23" i="5" s="1"/>
  <c r="AK17" i="5"/>
  <c r="AK19" i="5" s="1"/>
  <c r="AJ29" i="5"/>
  <c r="AJ31" i="5" s="1"/>
  <c r="AJ25" i="5"/>
  <c r="AJ21" i="5"/>
  <c r="AJ23" i="5" s="1"/>
  <c r="AJ17" i="5"/>
  <c r="AJ19" i="5" s="1"/>
  <c r="AK47" i="5"/>
  <c r="AK8" i="5"/>
  <c r="AK10" i="5" s="1"/>
  <c r="AJ7" i="5"/>
  <c r="AK222" i="5" l="1"/>
  <c r="AJ12" i="5"/>
  <c r="AM8" i="5"/>
  <c r="AK45" i="8"/>
  <c r="AK43" i="8"/>
  <c r="AK53" i="8"/>
  <c r="AN94" i="5"/>
  <c r="AN96" i="5" s="1"/>
  <c r="AJ56" i="8"/>
  <c r="AM94" i="5"/>
  <c r="AM96" i="5" s="1"/>
  <c r="AJ139" i="5"/>
  <c r="AK117" i="5"/>
  <c r="AK125" i="5" s="1"/>
  <c r="AK52" i="8"/>
  <c r="AK55" i="8"/>
  <c r="AK56" i="8"/>
  <c r="AK61" i="5"/>
  <c r="AK73" i="5" s="1"/>
  <c r="AK74" i="5" s="1"/>
  <c r="AK64" i="5"/>
  <c r="AK65" i="5" s="1"/>
  <c r="AJ54" i="8"/>
  <c r="AK103" i="5"/>
  <c r="AK111" i="5"/>
  <c r="AK241" i="5"/>
  <c r="AK242" i="5" s="1"/>
  <c r="AK254" i="5" s="1"/>
  <c r="AK255" i="5" s="1"/>
  <c r="AJ53" i="8"/>
  <c r="AK54" i="8"/>
  <c r="AK97" i="5"/>
  <c r="AJ117" i="5"/>
  <c r="AJ125" i="5" s="1"/>
  <c r="AJ55" i="8"/>
  <c r="AJ103" i="5"/>
  <c r="AJ111" i="5"/>
  <c r="AJ118" i="5" s="1"/>
  <c r="AJ123" i="5" s="1"/>
  <c r="AJ127" i="5" s="1"/>
  <c r="AK22" i="8"/>
  <c r="AJ138" i="5"/>
  <c r="AJ52" i="8"/>
  <c r="AJ22" i="8"/>
  <c r="AJ32" i="8"/>
  <c r="AJ33" i="8" s="1"/>
  <c r="AJ167" i="5"/>
  <c r="AJ162" i="5"/>
  <c r="AJ193" i="5"/>
  <c r="AJ180" i="5"/>
  <c r="AJ145" i="5"/>
  <c r="AI114" i="5"/>
  <c r="AJ114" i="5" s="1"/>
  <c r="AI58" i="5"/>
  <c r="AJ58" i="5" s="1"/>
  <c r="AK46" i="8" l="1"/>
  <c r="AK47" i="8" s="1"/>
  <c r="AK153" i="5"/>
  <c r="AK118" i="5"/>
  <c r="AK123" i="5" s="1"/>
  <c r="AK127" i="5" s="1"/>
  <c r="AG59" i="5"/>
  <c r="AD59" i="5"/>
  <c r="AA59" i="5"/>
  <c r="X59" i="5"/>
  <c r="U59" i="5"/>
  <c r="AG115" i="5"/>
  <c r="AD115" i="5"/>
  <c r="AA115" i="5"/>
  <c r="X115" i="5"/>
  <c r="U115" i="5"/>
  <c r="AJ153" i="5" l="1"/>
  <c r="AK163" i="5"/>
  <c r="AK168" i="5" s="1"/>
  <c r="AK172" i="5" s="1"/>
  <c r="AK194" i="5" s="1"/>
  <c r="U116" i="5"/>
  <c r="X116" i="5"/>
  <c r="AA116" i="5"/>
  <c r="AH110" i="5"/>
  <c r="AJ163" i="5" l="1"/>
  <c r="AJ168" i="5" s="1"/>
  <c r="AJ172" i="5" s="1"/>
  <c r="AJ194" i="5" s="1"/>
  <c r="AM11" i="4" l="1"/>
  <c r="AM15" i="4" s="1"/>
  <c r="AM19" i="4" s="1"/>
  <c r="AM23" i="4" s="1"/>
  <c r="AM10" i="4"/>
  <c r="AM14" i="4" s="1"/>
  <c r="AM18" i="4" s="1"/>
  <c r="AM22" i="4" s="1"/>
  <c r="AM9" i="4"/>
  <c r="AM13" i="4" s="1"/>
  <c r="AM17" i="4" s="1"/>
  <c r="AM21" i="4" s="1"/>
  <c r="AM8" i="4"/>
  <c r="AM12" i="4" s="1"/>
  <c r="AM16" i="4" s="1"/>
  <c r="AM20" i="4" s="1"/>
  <c r="AM24" i="4" s="1"/>
  <c r="AM28" i="4" s="1"/>
  <c r="AL20" i="4"/>
  <c r="AL16" i="4"/>
  <c r="L21" i="4" l="1"/>
  <c r="K21" i="4"/>
  <c r="J21" i="4"/>
  <c r="I21" i="4"/>
  <c r="AI260" i="5" l="1"/>
  <c r="AI253" i="5" l="1"/>
  <c r="AI240" i="5"/>
  <c r="AI231" i="5"/>
  <c r="AI221" i="5"/>
  <c r="AI215" i="5"/>
  <c r="AI193" i="5"/>
  <c r="AI168" i="5"/>
  <c r="AI172" i="5" s="1"/>
  <c r="AI180" i="5"/>
  <c r="AI194" i="5" l="1"/>
  <c r="AI222" i="5"/>
  <c r="AI241" i="5"/>
  <c r="AI162" i="5"/>
  <c r="AI142" i="5"/>
  <c r="AI145" i="5"/>
  <c r="AI139" i="5"/>
  <c r="AI138" i="5"/>
  <c r="AI133" i="5"/>
  <c r="AI131" i="5"/>
  <c r="AI110" i="5"/>
  <c r="AI46" i="5"/>
  <c r="AL47" i="5" s="1"/>
  <c r="AI43" i="5"/>
  <c r="AI45" i="5" s="1"/>
  <c r="AI39" i="5"/>
  <c r="AI41" i="5" s="1"/>
  <c r="AI17" i="5"/>
  <c r="AI19" i="5" s="1"/>
  <c r="AI21" i="5"/>
  <c r="AI23" i="5" s="1"/>
  <c r="AI25" i="5"/>
  <c r="AI29" i="5"/>
  <c r="AI31" i="5" s="1"/>
  <c r="AI102" i="5"/>
  <c r="AI101" i="5"/>
  <c r="AI100" i="5"/>
  <c r="AI99" i="5"/>
  <c r="AI93" i="5"/>
  <c r="AL94" i="5" s="1"/>
  <c r="AI90" i="5"/>
  <c r="AI92" i="5" s="1"/>
  <c r="AI86" i="5"/>
  <c r="AI82" i="5"/>
  <c r="AI84" i="5" s="1"/>
  <c r="AI242" i="5" l="1"/>
  <c r="AI254" i="5" s="1"/>
  <c r="AI255" i="5" s="1"/>
  <c r="AI47" i="5"/>
  <c r="AI18" i="8"/>
  <c r="AI23" i="8" s="1"/>
  <c r="AI22" i="8" s="1"/>
  <c r="AI17" i="8"/>
  <c r="AI16" i="8"/>
  <c r="AI103" i="5"/>
  <c r="AI55" i="8"/>
  <c r="AI61" i="5"/>
  <c r="AI53" i="8"/>
  <c r="AI56" i="8"/>
  <c r="AI52" i="8"/>
  <c r="AI54" i="8"/>
  <c r="AI111" i="5"/>
  <c r="AI118" i="5" s="1"/>
  <c r="AI123" i="5" s="1"/>
  <c r="AI127" i="5" s="1"/>
  <c r="AI117" i="5"/>
  <c r="AI125" i="5" s="1"/>
  <c r="AI33" i="5"/>
  <c r="AI35" i="5" s="1"/>
  <c r="AI12" i="5"/>
  <c r="AI10" i="5"/>
  <c r="D4" i="8"/>
  <c r="C4" i="12"/>
  <c r="AI56" i="5" l="1"/>
  <c r="AI73" i="5"/>
  <c r="AI74" i="5" s="1"/>
  <c r="V97" i="5"/>
  <c r="U93" i="5"/>
  <c r="U26" i="5" l="1"/>
  <c r="T26" i="5"/>
  <c r="S10" i="12" l="1"/>
  <c r="R8" i="12"/>
  <c r="R9" i="12"/>
  <c r="U187" i="5" l="1"/>
  <c r="Z86" i="5" l="1"/>
  <c r="AF133" i="5" l="1"/>
  <c r="AC133" i="5"/>
  <c r="AB133" i="5"/>
  <c r="Z133" i="5"/>
  <c r="W133" i="5"/>
  <c r="AE144" i="5"/>
  <c r="AH144" i="5"/>
  <c r="AH43" i="5" l="1"/>
  <c r="AH45" i="5" s="1"/>
  <c r="AF43" i="5"/>
  <c r="AF45" i="5" s="1"/>
  <c r="AE43" i="5"/>
  <c r="AE45" i="5" s="1"/>
  <c r="AC43" i="5"/>
  <c r="AC45" i="5" s="1"/>
  <c r="AB43" i="5"/>
  <c r="AB45" i="5" s="1"/>
  <c r="Z43" i="5"/>
  <c r="Z45" i="5" s="1"/>
  <c r="Y43" i="5"/>
  <c r="Y45" i="5" s="1"/>
  <c r="W43" i="5"/>
  <c r="W45" i="5" s="1"/>
  <c r="AG90" i="5"/>
  <c r="AG92" i="5" s="1"/>
  <c r="AF90" i="5"/>
  <c r="AF92" i="5" s="1"/>
  <c r="AE90" i="5"/>
  <c r="AE92" i="5" s="1"/>
  <c r="AD90" i="5"/>
  <c r="AD92" i="5" s="1"/>
  <c r="AB90" i="5"/>
  <c r="AA90" i="5"/>
  <c r="Z90" i="5"/>
  <c r="Y90" i="5"/>
  <c r="X90" i="5"/>
  <c r="W90" i="5"/>
  <c r="AH78" i="5"/>
  <c r="AH80" i="5" s="1"/>
  <c r="AG78" i="5"/>
  <c r="AG80" i="5" s="1"/>
  <c r="AF78" i="5"/>
  <c r="AF80" i="5" s="1"/>
  <c r="AE78" i="5"/>
  <c r="AE80" i="5" s="1"/>
  <c r="AD78" i="5"/>
  <c r="AD80" i="5" s="1"/>
  <c r="AC78" i="5"/>
  <c r="AC80" i="5" s="1"/>
  <c r="AB78" i="5"/>
  <c r="AB80" i="5" s="1"/>
  <c r="AA78" i="5"/>
  <c r="AA80" i="5" s="1"/>
  <c r="Z78" i="5"/>
  <c r="Z80" i="5" s="1"/>
  <c r="Y78" i="5"/>
  <c r="Y80" i="5" s="1"/>
  <c r="X78" i="5"/>
  <c r="X80" i="5" s="1"/>
  <c r="W78" i="5"/>
  <c r="W80" i="5" s="1"/>
  <c r="AG86" i="5"/>
  <c r="AF86" i="5"/>
  <c r="AD86" i="5"/>
  <c r="AC86" i="5"/>
  <c r="AE86" i="5"/>
  <c r="AB86" i="5"/>
  <c r="Y86" i="5"/>
  <c r="X86" i="5"/>
  <c r="W86" i="5"/>
  <c r="AB82" i="5"/>
  <c r="AB84" i="5" s="1"/>
  <c r="AE82" i="5"/>
  <c r="AE84" i="5" s="1"/>
  <c r="Y82" i="5"/>
  <c r="Y84" i="5" s="1"/>
  <c r="X82" i="5"/>
  <c r="W82" i="5"/>
  <c r="W84" i="5" s="1"/>
  <c r="AA82" i="5"/>
  <c r="AA84" i="5" s="1"/>
  <c r="Z82" i="5"/>
  <c r="Z84" i="5" s="1"/>
  <c r="AD82" i="5"/>
  <c r="AD84" i="5" s="1"/>
  <c r="AC82" i="5"/>
  <c r="AC84" i="5" s="1"/>
  <c r="AF82" i="5"/>
  <c r="AF84" i="5" s="1"/>
  <c r="AG82" i="5"/>
  <c r="AG84" i="5" s="1"/>
  <c r="AH82" i="5"/>
  <c r="AH84" i="5" s="1"/>
  <c r="AH19" i="5"/>
  <c r="AH25" i="5"/>
  <c r="Y29" i="5"/>
  <c r="Y31" i="5" s="1"/>
  <c r="AH33" i="5" l="1"/>
  <c r="AH29" i="5"/>
  <c r="AH31" i="5" s="1"/>
  <c r="AG29" i="5"/>
  <c r="AF29" i="5"/>
  <c r="AF31" i="5" s="1"/>
  <c r="AE29" i="5"/>
  <c r="AE31" i="5" s="1"/>
  <c r="AB29" i="5"/>
  <c r="AB31" i="5" s="1"/>
  <c r="Z29" i="5"/>
  <c r="Z31" i="5" s="1"/>
  <c r="W29" i="5"/>
  <c r="W31" i="5" s="1"/>
  <c r="AG25" i="5"/>
  <c r="AF25" i="5"/>
  <c r="AE25" i="5"/>
  <c r="AB25" i="5"/>
  <c r="Z25" i="5"/>
  <c r="Y25" i="5"/>
  <c r="W25" i="5"/>
  <c r="AH21" i="5"/>
  <c r="AH23" i="5" s="1"/>
  <c r="AE21" i="5"/>
  <c r="AE23" i="5" s="1"/>
  <c r="AB21" i="5"/>
  <c r="AB23" i="5" s="1"/>
  <c r="W21" i="5"/>
  <c r="W23" i="5" s="1"/>
  <c r="Y21" i="5"/>
  <c r="Y23" i="5" s="1"/>
  <c r="Z21" i="5"/>
  <c r="Z23" i="5" s="1"/>
  <c r="AE17" i="5"/>
  <c r="AE19" i="5" s="1"/>
  <c r="AB17" i="5"/>
  <c r="AB19" i="5" s="1"/>
  <c r="AC17" i="5"/>
  <c r="AC19" i="5" s="1"/>
  <c r="W8" i="5"/>
  <c r="AH99" i="5" l="1"/>
  <c r="AG102" i="5"/>
  <c r="AG101" i="5"/>
  <c r="AG100" i="5"/>
  <c r="AG99" i="5"/>
  <c r="AH207" i="5"/>
  <c r="AH93" i="5"/>
  <c r="AG7" i="5"/>
  <c r="AJ8" i="5" s="1"/>
  <c r="AD102" i="5"/>
  <c r="AD101" i="5"/>
  <c r="AD100" i="5"/>
  <c r="AD99" i="5"/>
  <c r="AH97" i="5" l="1"/>
  <c r="AK94" i="5"/>
  <c r="AK96" i="5" s="1"/>
  <c r="U9" i="12"/>
  <c r="U8" i="12"/>
  <c r="S6" i="12"/>
  <c r="R6" i="12"/>
  <c r="AJ19" i="11"/>
  <c r="AZ17" i="11" s="1"/>
  <c r="AI19" i="11"/>
  <c r="AI51" i="11" s="1"/>
  <c r="AJ18" i="11"/>
  <c r="AJ50" i="11" s="1"/>
  <c r="AI18" i="11"/>
  <c r="AI50" i="11" s="1"/>
  <c r="AJ17" i="11"/>
  <c r="AZ11" i="11" s="1"/>
  <c r="AI17" i="11"/>
  <c r="AI49" i="11" s="1"/>
  <c r="AJ16" i="11"/>
  <c r="AI16" i="11"/>
  <c r="AI48" i="11" s="1"/>
  <c r="AJ12" i="11"/>
  <c r="AJ45" i="11" s="1"/>
  <c r="AJ11" i="11"/>
  <c r="AJ44" i="11" s="1"/>
  <c r="AJ10" i="11"/>
  <c r="AJ43" i="11" s="1"/>
  <c r="AJ9" i="11"/>
  <c r="AJ42" i="11" s="1"/>
  <c r="AJ8" i="11"/>
  <c r="AJ41" i="11" s="1"/>
  <c r="AI12" i="11"/>
  <c r="AI45" i="11" s="1"/>
  <c r="AI11" i="11"/>
  <c r="AI44" i="11" s="1"/>
  <c r="AI10" i="11"/>
  <c r="AI43" i="11" s="1"/>
  <c r="AI9" i="11"/>
  <c r="AI42" i="11" s="1"/>
  <c r="AI8" i="11"/>
  <c r="AI41" i="11" s="1"/>
  <c r="AJ6" i="11"/>
  <c r="AJ39" i="11" s="1"/>
  <c r="AI6" i="11"/>
  <c r="AI39" i="11" s="1"/>
  <c r="AJ48" i="11" l="1"/>
  <c r="AZ8" i="11"/>
  <c r="AZ14" i="11"/>
  <c r="AJ49" i="11"/>
  <c r="AJ51" i="11"/>
  <c r="Z100" i="5" l="1"/>
  <c r="W203" i="5" l="1"/>
  <c r="W204" i="5" s="1"/>
  <c r="Z203" i="5"/>
  <c r="Z204" i="5" s="1"/>
  <c r="AC203" i="5"/>
  <c r="AC204" i="5" s="1"/>
  <c r="AH200" i="5"/>
  <c r="AH203" i="5" s="1"/>
  <c r="AC114" i="5"/>
  <c r="T172" i="5"/>
  <c r="AH204" i="5" l="1"/>
  <c r="AI200" i="5"/>
  <c r="AI203" i="5" s="1"/>
  <c r="AJ200" i="5" s="1"/>
  <c r="AJ203" i="5" s="1"/>
  <c r="AH90" i="5"/>
  <c r="AH92" i="5" s="1"/>
  <c r="AB39" i="5"/>
  <c r="AB41" i="5" s="1"/>
  <c r="AH39" i="5" l="1"/>
  <c r="AH41" i="5" s="1"/>
  <c r="AE39" i="5"/>
  <c r="AE41" i="5" s="1"/>
  <c r="AC39" i="5"/>
  <c r="AC41" i="5" s="1"/>
  <c r="AH86" i="5"/>
  <c r="AH35" i="5" l="1"/>
  <c r="V45" i="5"/>
  <c r="AF39" i="5"/>
  <c r="AF41" i="5" s="1"/>
  <c r="Z39" i="5"/>
  <c r="Z41" i="5" s="1"/>
  <c r="Y39" i="5"/>
  <c r="Y41" i="5" s="1"/>
  <c r="W39" i="5"/>
  <c r="W41" i="5" s="1"/>
  <c r="V41" i="5"/>
  <c r="AE87" i="5"/>
  <c r="AB87" i="5"/>
  <c r="AA87" i="5"/>
  <c r="Z87" i="5"/>
  <c r="X87" i="5"/>
  <c r="W87" i="5"/>
  <c r="V87" i="5"/>
  <c r="U35" i="5"/>
  <c r="T35" i="5"/>
  <c r="AH8" i="5"/>
  <c r="AH10" i="5" s="1"/>
  <c r="AF8" i="5"/>
  <c r="AF10" i="5" s="1"/>
  <c r="AE8" i="5"/>
  <c r="AE10" i="5" s="1"/>
  <c r="AC8" i="5"/>
  <c r="AC10" i="5" s="1"/>
  <c r="AB8" i="5"/>
  <c r="AB10" i="5" s="1"/>
  <c r="Z8" i="5"/>
  <c r="Z10" i="5" s="1"/>
  <c r="Y8" i="5"/>
  <c r="Y10" i="5" s="1"/>
  <c r="W10" i="5"/>
  <c r="V10" i="5"/>
  <c r="T10" i="5"/>
  <c r="AD87" i="5" l="1"/>
  <c r="AF87" i="5"/>
  <c r="Y87" i="5"/>
  <c r="AG87" i="5"/>
  <c r="U120" i="5"/>
  <c r="X120" i="5"/>
  <c r="AA120" i="5" l="1"/>
  <c r="AD120" i="5"/>
  <c r="AG116" i="5"/>
  <c r="AD116" i="5"/>
  <c r="V117" i="5"/>
  <c r="V125" i="5" s="1"/>
  <c r="AG132" i="5" l="1"/>
  <c r="AG130" i="5"/>
  <c r="AH131" i="5"/>
  <c r="AF131" i="5"/>
  <c r="AH139" i="5"/>
  <c r="AF139" i="5"/>
  <c r="AC139" i="5"/>
  <c r="AB139" i="5"/>
  <c r="Z139" i="5"/>
  <c r="Y139" i="5"/>
  <c r="W139" i="5"/>
  <c r="AH138" i="5"/>
  <c r="AF138" i="5"/>
  <c r="AE138" i="5"/>
  <c r="AC138" i="5"/>
  <c r="AB138" i="5"/>
  <c r="Z138" i="5"/>
  <c r="Y138" i="5"/>
  <c r="W138" i="5"/>
  <c r="V138" i="5"/>
  <c r="AG110" i="5"/>
  <c r="AG138" i="5" l="1"/>
  <c r="AJ131" i="5"/>
  <c r="AG139" i="5"/>
  <c r="AJ133" i="5"/>
  <c r="V66" i="5"/>
  <c r="T66" i="5"/>
  <c r="AH38" i="8"/>
  <c r="AH14" i="5"/>
  <c r="AG14" i="5"/>
  <c r="AF14" i="5"/>
  <c r="AE14" i="5"/>
  <c r="AD14" i="5"/>
  <c r="AC14" i="5"/>
  <c r="AB14" i="5"/>
  <c r="AA14" i="5"/>
  <c r="Z14" i="5"/>
  <c r="Y14" i="5"/>
  <c r="X14" i="5"/>
  <c r="W14" i="5"/>
  <c r="V14" i="5"/>
  <c r="U14" i="5"/>
  <c r="T14" i="5"/>
  <c r="AH32" i="8"/>
  <c r="AG30" i="8"/>
  <c r="AG31" i="8"/>
  <c r="AG29" i="8"/>
  <c r="AG28" i="8"/>
  <c r="AG27" i="8"/>
  <c r="AG26" i="8"/>
  <c r="AH21" i="8"/>
  <c r="AG21" i="8"/>
  <c r="AH18" i="8"/>
  <c r="AH23" i="8" s="1"/>
  <c r="AG18" i="8"/>
  <c r="AG23" i="8" s="1"/>
  <c r="AH17" i="8"/>
  <c r="AG17" i="8"/>
  <c r="AH16" i="8"/>
  <c r="AG16" i="8"/>
  <c r="AH13" i="8"/>
  <c r="AG13" i="8"/>
  <c r="AH12" i="8"/>
  <c r="AG12" i="8"/>
  <c r="AH11" i="8"/>
  <c r="AG11" i="8"/>
  <c r="AH10" i="8"/>
  <c r="AG10" i="8"/>
  <c r="AH9" i="8"/>
  <c r="AG9" i="8"/>
  <c r="AH260" i="5"/>
  <c r="AQ257" i="5"/>
  <c r="AO257" i="5"/>
  <c r="AN257" i="5"/>
  <c r="AL257" i="5"/>
  <c r="AK257" i="5"/>
  <c r="AI257" i="5"/>
  <c r="AH257" i="5"/>
  <c r="AF257" i="5"/>
  <c r="AH22" i="8" l="1"/>
  <c r="AG22" i="8"/>
  <c r="AH33" i="8"/>
  <c r="AH240" i="5" l="1"/>
  <c r="AH231" i="5"/>
  <c r="AH221" i="5"/>
  <c r="AH215" i="5"/>
  <c r="AH253" i="5"/>
  <c r="AG201" i="5"/>
  <c r="AG196" i="5"/>
  <c r="AG195" i="5"/>
  <c r="AG187" i="5"/>
  <c r="AG186" i="5"/>
  <c r="AG184" i="5"/>
  <c r="R10" i="12" s="1"/>
  <c r="AG182" i="5"/>
  <c r="AG179" i="5"/>
  <c r="AG176" i="5"/>
  <c r="AG174" i="5"/>
  <c r="AG171" i="5"/>
  <c r="AG170" i="5"/>
  <c r="AG166" i="5"/>
  <c r="AG165" i="5"/>
  <c r="AH162" i="5"/>
  <c r="AQ152" i="5"/>
  <c r="AP152" i="5"/>
  <c r="AO152" i="5"/>
  <c r="AN152" i="5"/>
  <c r="AM152" i="5"/>
  <c r="AL152" i="5"/>
  <c r="AK152" i="5"/>
  <c r="AJ152" i="5"/>
  <c r="AI152" i="5"/>
  <c r="AH152" i="5"/>
  <c r="AG152" i="5"/>
  <c r="AG150" i="5"/>
  <c r="AG149" i="5"/>
  <c r="AH145" i="5"/>
  <c r="AK146" i="5" s="1"/>
  <c r="AH142" i="5"/>
  <c r="AG141" i="5"/>
  <c r="AJ142" i="5" s="1"/>
  <c r="AG143" i="5"/>
  <c r="AJ144" i="5" s="1"/>
  <c r="AG122" i="5"/>
  <c r="AH114" i="5"/>
  <c r="AG113" i="5"/>
  <c r="AH102" i="5"/>
  <c r="AH101" i="5"/>
  <c r="AH100" i="5"/>
  <c r="AG93" i="5"/>
  <c r="AJ94" i="5" s="1"/>
  <c r="AJ96" i="5" s="1"/>
  <c r="AG60" i="5"/>
  <c r="AG58" i="5"/>
  <c r="AH54" i="5"/>
  <c r="AH47" i="5"/>
  <c r="AG33" i="5"/>
  <c r="AG35" i="5" s="1"/>
  <c r="AG30" i="5"/>
  <c r="AG31" i="5" s="1"/>
  <c r="AG22" i="5"/>
  <c r="AG21" i="5"/>
  <c r="AG23" i="5" s="1"/>
  <c r="AG17" i="5"/>
  <c r="AG19" i="5" s="1"/>
  <c r="AG103" i="5" l="1"/>
  <c r="AG98" i="5" s="1"/>
  <c r="AH56" i="5"/>
  <c r="AH117" i="5"/>
  <c r="AH125" i="5" s="1"/>
  <c r="AJ20" i="11"/>
  <c r="AI20" i="11"/>
  <c r="AG12" i="5"/>
  <c r="AG117" i="5"/>
  <c r="AG125" i="5" s="1"/>
  <c r="AG145" i="5"/>
  <c r="AJ146" i="5" s="1"/>
  <c r="AH222" i="5"/>
  <c r="AH241" i="5"/>
  <c r="AG111" i="5"/>
  <c r="AG118" i="5" s="1"/>
  <c r="AH66" i="5"/>
  <c r="AH56" i="8"/>
  <c r="AH52" i="8"/>
  <c r="AH55" i="8"/>
  <c r="AH53" i="8"/>
  <c r="AH54" i="8"/>
  <c r="AH111" i="5"/>
  <c r="AH153" i="5" s="1"/>
  <c r="AG153" i="5" s="1"/>
  <c r="AG167" i="5"/>
  <c r="AH61" i="5"/>
  <c r="AH73" i="5" s="1"/>
  <c r="AH74" i="5" s="1"/>
  <c r="AG56" i="8"/>
  <c r="AG54" i="8"/>
  <c r="AG52" i="8"/>
  <c r="AG53" i="8"/>
  <c r="AG66" i="5"/>
  <c r="AG55" i="8"/>
  <c r="AH103" i="5"/>
  <c r="AH98" i="5" s="1"/>
  <c r="AG180" i="5"/>
  <c r="AG193" i="5"/>
  <c r="AG162" i="5"/>
  <c r="AG26" i="5"/>
  <c r="AH44" i="8" l="1"/>
  <c r="AH43" i="8"/>
  <c r="AH45" i="8"/>
  <c r="AH62" i="5"/>
  <c r="AG123" i="5"/>
  <c r="AG127" i="5" s="1"/>
  <c r="AH64" i="5"/>
  <c r="AH65" i="5" s="1"/>
  <c r="AJ52" i="11"/>
  <c r="AJ15" i="11"/>
  <c r="AI15" i="11"/>
  <c r="AI52" i="11"/>
  <c r="AH163" i="5"/>
  <c r="AH168" i="5" s="1"/>
  <c r="AH172" i="5" s="1"/>
  <c r="AH194" i="5" s="1"/>
  <c r="AH118" i="5"/>
  <c r="AH123" i="5" s="1"/>
  <c r="AH127" i="5" s="1"/>
  <c r="AH242" i="5"/>
  <c r="AH254" i="5" s="1"/>
  <c r="AH255" i="5" s="1"/>
  <c r="AG168" i="5"/>
  <c r="AG172" i="5" s="1"/>
  <c r="AG194" i="5" s="1"/>
  <c r="AG197" i="5" s="1"/>
  <c r="AI195" i="5" s="1"/>
  <c r="AG163" i="5"/>
  <c r="AH46" i="8" l="1"/>
  <c r="AH47" i="8" s="1"/>
  <c r="AI197" i="5"/>
  <c r="AI204" i="5" s="1"/>
  <c r="AK195" i="5"/>
  <c r="AK197" i="5" s="1"/>
  <c r="AK204" i="5" s="1"/>
  <c r="AJ195" i="5" l="1"/>
  <c r="AJ197" i="5" s="1"/>
  <c r="AF162" i="5"/>
  <c r="AE162" i="5"/>
  <c r="AC162" i="5"/>
  <c r="AB162" i="5"/>
  <c r="Z162" i="5"/>
  <c r="Y162" i="5"/>
  <c r="W162" i="5"/>
  <c r="V162" i="5"/>
  <c r="T162" i="5"/>
  <c r="AJ204" i="5" l="1"/>
  <c r="AL195" i="5"/>
  <c r="AF215" i="5"/>
  <c r="AE215" i="5"/>
  <c r="AC215" i="5"/>
  <c r="AB215" i="5"/>
  <c r="Z215" i="5"/>
  <c r="Y215" i="5"/>
  <c r="W215" i="5"/>
  <c r="V215" i="5"/>
  <c r="T215" i="5"/>
  <c r="AL197" i="5" l="1"/>
  <c r="AN195" i="5"/>
  <c r="AN197" i="5" s="1"/>
  <c r="AN204" i="5" s="1"/>
  <c r="AL204" i="5"/>
  <c r="AM195" i="5"/>
  <c r="AM197" i="5" s="1"/>
  <c r="AE240" i="5"/>
  <c r="AC240" i="5"/>
  <c r="AB240" i="5"/>
  <c r="Z240" i="5"/>
  <c r="Y240" i="5"/>
  <c r="W240" i="5"/>
  <c r="V240" i="5"/>
  <c r="T240" i="5"/>
  <c r="AF240" i="5"/>
  <c r="AE231" i="5"/>
  <c r="AC231" i="5"/>
  <c r="AB231" i="5"/>
  <c r="Z231" i="5"/>
  <c r="Y231" i="5"/>
  <c r="W231" i="5"/>
  <c r="V231" i="5"/>
  <c r="T231" i="5"/>
  <c r="AF231" i="5"/>
  <c r="AE242" i="5"/>
  <c r="AC242" i="5"/>
  <c r="AB242" i="5"/>
  <c r="Z242" i="5"/>
  <c r="Y242" i="5"/>
  <c r="W242" i="5"/>
  <c r="V242" i="5"/>
  <c r="T242" i="5"/>
  <c r="AE253" i="5"/>
  <c r="AC253" i="5"/>
  <c r="AB253" i="5"/>
  <c r="Z253" i="5"/>
  <c r="Y253" i="5"/>
  <c r="W253" i="5"/>
  <c r="V253" i="5"/>
  <c r="T253" i="5"/>
  <c r="AF253" i="5"/>
  <c r="AF242" i="5"/>
  <c r="AO195" i="5" l="1"/>
  <c r="AM204" i="5"/>
  <c r="W254" i="5"/>
  <c r="W255" i="5" s="1"/>
  <c r="T254" i="5"/>
  <c r="T255" i="5" s="1"/>
  <c r="AC254" i="5"/>
  <c r="AC255" i="5" s="1"/>
  <c r="Y254" i="5"/>
  <c r="Y255" i="5" s="1"/>
  <c r="AE254" i="5"/>
  <c r="AE255" i="5" s="1"/>
  <c r="Z254" i="5"/>
  <c r="Z255" i="5" s="1"/>
  <c r="AF254" i="5"/>
  <c r="AF255" i="5" s="1"/>
  <c r="V254" i="5"/>
  <c r="V255" i="5" s="1"/>
  <c r="AB254" i="5"/>
  <c r="AB255" i="5" s="1"/>
  <c r="AO197" i="5" l="1"/>
  <c r="AO204" i="5" s="1"/>
  <c r="AQ195" i="5"/>
  <c r="AQ197" i="5" s="1"/>
  <c r="AQ204" i="5" s="1"/>
  <c r="AE26" i="5"/>
  <c r="AC26" i="5"/>
  <c r="AP195" i="5" l="1"/>
  <c r="AP197" i="5" s="1"/>
  <c r="T114" i="5"/>
  <c r="V114" i="5"/>
  <c r="Y114" i="5"/>
  <c r="AB114" i="5"/>
  <c r="W114" i="5"/>
  <c r="Z114" i="5"/>
  <c r="AE114" i="5"/>
  <c r="AF114" i="5"/>
  <c r="AG114" i="5" s="1"/>
  <c r="AF17" i="5"/>
  <c r="AF19" i="5" s="1"/>
  <c r="Z17" i="5"/>
  <c r="Z19" i="5" s="1"/>
  <c r="Y17" i="5"/>
  <c r="Y19" i="5" s="1"/>
  <c r="W17" i="5"/>
  <c r="W19" i="5" s="1"/>
  <c r="V19" i="5"/>
  <c r="AF21" i="5"/>
  <c r="AF23" i="5" s="1"/>
  <c r="V23" i="5"/>
  <c r="AP204" i="5" l="1"/>
  <c r="AR197" i="5"/>
  <c r="Z26" i="5"/>
  <c r="V26" i="5"/>
  <c r="AB26" i="5"/>
  <c r="W26" i="5"/>
  <c r="AF26" i="5"/>
  <c r="X114" i="5"/>
  <c r="AD114" i="5"/>
  <c r="U114" i="5"/>
  <c r="AA114" i="5"/>
  <c r="AF145" i="5"/>
  <c r="AI146" i="5" s="1"/>
  <c r="AE145" i="5"/>
  <c r="AH146" i="5" s="1"/>
  <c r="AC145" i="5"/>
  <c r="AB145" i="5"/>
  <c r="Z145" i="5"/>
  <c r="Y145" i="5"/>
  <c r="W145" i="5"/>
  <c r="V145" i="5"/>
  <c r="AR204" i="5" l="1"/>
  <c r="AS195" i="5"/>
  <c r="AS197" i="5" s="1"/>
  <c r="AS204" i="5" s="1"/>
  <c r="W146" i="5"/>
  <c r="AC146" i="5"/>
  <c r="V146" i="5"/>
  <c r="AB146" i="5"/>
  <c r="Y146" i="5"/>
  <c r="AE146" i="5"/>
  <c r="Z146" i="5"/>
  <c r="AF146" i="5"/>
  <c r="H10" i="12"/>
  <c r="G10" i="12"/>
  <c r="E10" i="12"/>
  <c r="Q10" i="12"/>
  <c r="P10" i="12"/>
  <c r="N10" i="12"/>
  <c r="M10" i="12"/>
  <c r="K10" i="12"/>
  <c r="J10" i="12"/>
  <c r="L8" i="12"/>
  <c r="O8" i="12"/>
  <c r="O9" i="12"/>
  <c r="Q6" i="12"/>
  <c r="P6" i="12"/>
  <c r="O6" i="12"/>
  <c r="N6" i="12"/>
  <c r="M6" i="12"/>
  <c r="L6" i="12"/>
  <c r="K6" i="12"/>
  <c r="J6" i="12"/>
  <c r="I6" i="12"/>
  <c r="H6" i="12"/>
  <c r="G6" i="12"/>
  <c r="F6" i="12"/>
  <c r="E6" i="12"/>
  <c r="P11" i="12" l="1"/>
  <c r="S11" i="12"/>
  <c r="U10" i="12"/>
  <c r="Q11" i="12"/>
  <c r="N11" i="12"/>
  <c r="Y10" i="12"/>
  <c r="M11" i="12"/>
  <c r="AU53" i="11"/>
  <c r="AU47" i="11"/>
  <c r="AU43" i="11"/>
  <c r="AU44" i="11" s="1"/>
  <c r="AU46" i="11" s="1"/>
  <c r="AU48" i="11" s="1"/>
  <c r="AU49" i="11" s="1"/>
  <c r="AP51" i="11"/>
  <c r="AP50" i="11"/>
  <c r="AP49" i="11"/>
  <c r="AP48" i="11"/>
  <c r="AP44" i="11"/>
  <c r="AP43" i="11"/>
  <c r="AP42" i="11"/>
  <c r="AP41" i="11"/>
  <c r="X10" i="12" l="1"/>
  <c r="W10" i="12"/>
  <c r="BA7" i="11" l="1"/>
  <c r="AV14" i="11"/>
  <c r="V54" i="5" l="1"/>
  <c r="Y54" i="5"/>
  <c r="T111" i="5"/>
  <c r="AA60" i="5"/>
  <c r="AA58" i="5"/>
  <c r="X60" i="5"/>
  <c r="X58" i="5"/>
  <c r="U60" i="5"/>
  <c r="U58" i="5"/>
  <c r="Z269" i="5"/>
  <c r="W269" i="5"/>
  <c r="U126" i="5"/>
  <c r="T113" i="5"/>
  <c r="X143" i="5"/>
  <c r="X126" i="5"/>
  <c r="X132" i="5"/>
  <c r="AA132" i="5"/>
  <c r="AA143" i="5"/>
  <c r="AD143" i="5"/>
  <c r="AF142" i="5"/>
  <c r="AE142" i="5"/>
  <c r="AC142" i="5"/>
  <c r="AB142" i="5"/>
  <c r="Z142" i="5"/>
  <c r="Y142" i="5"/>
  <c r="W142" i="5"/>
  <c r="V142" i="5"/>
  <c r="U122" i="5"/>
  <c r="X122" i="5"/>
  <c r="AA122" i="5"/>
  <c r="AD122" i="5"/>
  <c r="X113" i="5"/>
  <c r="AA113" i="5"/>
  <c r="AD113" i="5"/>
  <c r="X130" i="5"/>
  <c r="X138" i="5" s="1"/>
  <c r="AA130" i="5"/>
  <c r="AA138" i="5" s="1"/>
  <c r="AD130" i="5"/>
  <c r="X141" i="5"/>
  <c r="AA141" i="5"/>
  <c r="AD141" i="5"/>
  <c r="V201" i="5"/>
  <c r="U201" i="5" s="1"/>
  <c r="V200" i="5"/>
  <c r="U200" i="5"/>
  <c r="X200" i="5"/>
  <c r="AA201" i="5"/>
  <c r="AA200" i="5"/>
  <c r="AF200" i="5"/>
  <c r="AF203" i="5" s="1"/>
  <c r="AD200" i="5"/>
  <c r="AD201" i="5"/>
  <c r="AD196" i="5"/>
  <c r="AD195" i="5"/>
  <c r="AD187" i="5"/>
  <c r="AD186" i="5"/>
  <c r="AD184" i="5"/>
  <c r="O10" i="12" s="1"/>
  <c r="R11" i="12" s="1"/>
  <c r="AD182" i="5"/>
  <c r="AD179" i="5"/>
  <c r="AD176" i="5"/>
  <c r="AD175" i="5"/>
  <c r="AD174" i="5"/>
  <c r="AD171" i="5"/>
  <c r="AD170" i="5"/>
  <c r="AD166" i="5"/>
  <c r="AD165" i="5"/>
  <c r="AD160" i="5"/>
  <c r="AD159" i="5"/>
  <c r="AD158" i="5"/>
  <c r="AD157" i="5"/>
  <c r="AD155" i="5"/>
  <c r="AD153" i="5"/>
  <c r="AB180" i="5"/>
  <c r="Z180" i="5"/>
  <c r="Z194" i="5" s="1"/>
  <c r="Y180" i="5"/>
  <c r="W180" i="5"/>
  <c r="V180" i="5"/>
  <c r="T180" i="5"/>
  <c r="AB193" i="5"/>
  <c r="Z193" i="5"/>
  <c r="Y193" i="5"/>
  <c r="W193" i="5"/>
  <c r="V193" i="5"/>
  <c r="T193" i="5"/>
  <c r="AH19" i="11"/>
  <c r="AH51" i="11" s="1"/>
  <c r="AG19" i="11"/>
  <c r="AF19" i="11"/>
  <c r="AE19" i="11"/>
  <c r="AH18" i="11"/>
  <c r="AH50" i="11" s="1"/>
  <c r="AG18" i="11"/>
  <c r="AF18" i="11"/>
  <c r="AE18" i="11"/>
  <c r="AH17" i="11"/>
  <c r="AH49" i="11" s="1"/>
  <c r="AG17" i="11"/>
  <c r="AF17" i="11"/>
  <c r="AE17" i="11"/>
  <c r="AH16" i="11"/>
  <c r="AH48" i="11" s="1"/>
  <c r="AG16" i="11"/>
  <c r="AY8" i="11" s="1"/>
  <c r="AF16" i="11"/>
  <c r="AE16" i="11"/>
  <c r="AD19" i="11"/>
  <c r="AD18" i="11"/>
  <c r="AD17" i="11"/>
  <c r="AD16" i="11"/>
  <c r="AX8" i="11" s="1"/>
  <c r="AH12" i="11"/>
  <c r="AH45" i="11" s="1"/>
  <c r="AG12" i="11"/>
  <c r="AF12" i="11"/>
  <c r="AI13" i="11" s="1"/>
  <c r="AE12" i="11"/>
  <c r="AH11" i="11"/>
  <c r="AH44" i="11" s="1"/>
  <c r="AG11" i="11"/>
  <c r="AG44" i="11" s="1"/>
  <c r="AE11" i="11"/>
  <c r="AE44" i="11" s="1"/>
  <c r="AH10" i="11"/>
  <c r="AH43" i="11" s="1"/>
  <c r="AG10" i="11"/>
  <c r="AG43" i="11" s="1"/>
  <c r="AE10" i="11"/>
  <c r="AE43" i="11" s="1"/>
  <c r="AH9" i="11"/>
  <c r="AH42" i="11" s="1"/>
  <c r="AG9" i="11"/>
  <c r="AG42" i="11" s="1"/>
  <c r="AE9" i="11"/>
  <c r="AE42" i="11" s="1"/>
  <c r="AH8" i="11"/>
  <c r="AH41" i="11" s="1"/>
  <c r="AG8" i="11"/>
  <c r="AG41" i="11" s="1"/>
  <c r="AE8" i="11"/>
  <c r="AE41" i="11" s="1"/>
  <c r="AD12" i="11"/>
  <c r="AD11" i="11"/>
  <c r="AD10" i="11"/>
  <c r="AD9" i="11"/>
  <c r="AD8" i="11"/>
  <c r="Z8" i="11"/>
  <c r="Z9" i="11"/>
  <c r="Z10" i="11"/>
  <c r="Z11" i="11"/>
  <c r="S13" i="11"/>
  <c r="T13" i="11"/>
  <c r="U13" i="11"/>
  <c r="V13" i="11"/>
  <c r="W13" i="11"/>
  <c r="X13" i="11"/>
  <c r="Y13" i="11"/>
  <c r="Z13" i="11"/>
  <c r="AA13" i="11"/>
  <c r="AB13" i="11"/>
  <c r="AC13" i="11"/>
  <c r="C4" i="8"/>
  <c r="C3" i="8"/>
  <c r="C2" i="8"/>
  <c r="C1" i="8"/>
  <c r="D2" i="8"/>
  <c r="D1" i="8"/>
  <c r="AC20" i="11"/>
  <c r="AB20" i="11"/>
  <c r="AA20" i="11"/>
  <c r="Z20" i="11"/>
  <c r="Y20" i="11"/>
  <c r="X20" i="11"/>
  <c r="W20" i="11"/>
  <c r="V20" i="11"/>
  <c r="U20" i="11"/>
  <c r="T20" i="11"/>
  <c r="S20" i="11"/>
  <c r="R20" i="11"/>
  <c r="Q15" i="11"/>
  <c r="P15" i="11"/>
  <c r="O15" i="11"/>
  <c r="N15" i="11"/>
  <c r="M15" i="11"/>
  <c r="L15" i="11"/>
  <c r="K15" i="11"/>
  <c r="J15" i="11"/>
  <c r="I15" i="11"/>
  <c r="H15" i="11"/>
  <c r="G15" i="11"/>
  <c r="F15" i="11"/>
  <c r="AH6" i="11"/>
  <c r="AH39" i="11" s="1"/>
  <c r="AG6" i="11"/>
  <c r="AG39" i="11" s="1"/>
  <c r="AF6" i="11"/>
  <c r="AF39" i="11" s="1"/>
  <c r="AE6" i="11"/>
  <c r="AE39" i="11" s="1"/>
  <c r="AD6" i="11"/>
  <c r="AD39" i="11" s="1"/>
  <c r="AC6" i="11"/>
  <c r="AB6" i="11"/>
  <c r="AA6" i="11"/>
  <c r="Z6" i="11"/>
  <c r="Y6" i="11"/>
  <c r="X6" i="11"/>
  <c r="W6" i="11"/>
  <c r="V6" i="11"/>
  <c r="U6" i="11"/>
  <c r="T6" i="11"/>
  <c r="S6" i="11"/>
  <c r="R6" i="11"/>
  <c r="Q6" i="11"/>
  <c r="P6" i="11"/>
  <c r="O6" i="11"/>
  <c r="N6" i="11"/>
  <c r="M6" i="11"/>
  <c r="L6" i="11"/>
  <c r="K6" i="11"/>
  <c r="J6" i="11"/>
  <c r="I6" i="11"/>
  <c r="H6" i="11"/>
  <c r="G6" i="11"/>
  <c r="F6" i="11"/>
  <c r="E6" i="11"/>
  <c r="D6" i="11"/>
  <c r="T194" i="5" l="1"/>
  <c r="Y194" i="5"/>
  <c r="V194" i="5"/>
  <c r="AB194" i="5"/>
  <c r="W194" i="5"/>
  <c r="AD167" i="5"/>
  <c r="AD144" i="5"/>
  <c r="AG144" i="5"/>
  <c r="AA139" i="5"/>
  <c r="X139" i="5"/>
  <c r="AA133" i="5"/>
  <c r="AO8" i="11"/>
  <c r="AO16" i="11" s="1"/>
  <c r="AM8" i="11"/>
  <c r="AN8" i="11"/>
  <c r="AN16" i="11" s="1"/>
  <c r="AC9" i="11"/>
  <c r="AO9" i="11"/>
  <c r="AO17" i="11" s="1"/>
  <c r="AN9" i="11"/>
  <c r="AN17" i="11" s="1"/>
  <c r="AM9" i="11"/>
  <c r="AM17" i="11" s="1"/>
  <c r="BA11" i="11" s="1"/>
  <c r="AO11" i="11"/>
  <c r="AO19" i="11" s="1"/>
  <c r="AN11" i="11"/>
  <c r="AN19" i="11" s="1"/>
  <c r="AM11" i="11"/>
  <c r="AM19" i="11" s="1"/>
  <c r="BA17" i="11" s="1"/>
  <c r="AN10" i="11"/>
  <c r="AN18" i="11" s="1"/>
  <c r="AM10" i="11"/>
  <c r="AM18" i="11" s="1"/>
  <c r="BA14" i="11" s="1"/>
  <c r="AO10" i="11"/>
  <c r="AO18" i="11" s="1"/>
  <c r="AD203" i="5"/>
  <c r="AF204" i="5"/>
  <c r="AG200" i="5"/>
  <c r="AG203" i="5" s="1"/>
  <c r="AG204" i="5" s="1"/>
  <c r="AG45" i="11"/>
  <c r="AJ13" i="11"/>
  <c r="AG48" i="11"/>
  <c r="AG49" i="11"/>
  <c r="AY11" i="11"/>
  <c r="AG50" i="11"/>
  <c r="AY14" i="11"/>
  <c r="AG51" i="11"/>
  <c r="AY17" i="11"/>
  <c r="U113" i="5"/>
  <c r="T117" i="5"/>
  <c r="T125" i="5" s="1"/>
  <c r="AD138" i="5"/>
  <c r="AG131" i="5"/>
  <c r="AD145" i="5"/>
  <c r="AG142" i="5"/>
  <c r="AA145" i="5"/>
  <c r="AD162" i="5"/>
  <c r="X145" i="5"/>
  <c r="AD142" i="5"/>
  <c r="X142" i="5"/>
  <c r="AA142" i="5"/>
  <c r="T118" i="5"/>
  <c r="AD41" i="11"/>
  <c r="AL41" i="11" s="1"/>
  <c r="AD13" i="11"/>
  <c r="AD45" i="11"/>
  <c r="AD51" i="11"/>
  <c r="AX17" i="11"/>
  <c r="AD42" i="11"/>
  <c r="AL42" i="11" s="1"/>
  <c r="AL49" i="11" s="1"/>
  <c r="AE13" i="11"/>
  <c r="AE45" i="11"/>
  <c r="AD48" i="11"/>
  <c r="AE48" i="11"/>
  <c r="AE49" i="11"/>
  <c r="AE50" i="11"/>
  <c r="AE51" i="11"/>
  <c r="AD43" i="11"/>
  <c r="AL43" i="11" s="1"/>
  <c r="AL50" i="11" s="1"/>
  <c r="AF13" i="11"/>
  <c r="AF45" i="11"/>
  <c r="AD49" i="11"/>
  <c r="AX11" i="11"/>
  <c r="AF48" i="11"/>
  <c r="AF49" i="11"/>
  <c r="AF50" i="11"/>
  <c r="AF51" i="11"/>
  <c r="AD44" i="11"/>
  <c r="AL44" i="11" s="1"/>
  <c r="AL51" i="11" s="1"/>
  <c r="AD50" i="11"/>
  <c r="AX14" i="11"/>
  <c r="AC8" i="11"/>
  <c r="AC10" i="11"/>
  <c r="AC11" i="11"/>
  <c r="AA203" i="5"/>
  <c r="V203" i="5"/>
  <c r="V204" i="5" s="1"/>
  <c r="AD193" i="5"/>
  <c r="U203" i="5"/>
  <c r="AD180" i="5"/>
  <c r="AH13" i="11"/>
  <c r="AG13" i="11"/>
  <c r="U15" i="11"/>
  <c r="Y15" i="11"/>
  <c r="AC15" i="11"/>
  <c r="X15" i="11"/>
  <c r="V15" i="11"/>
  <c r="Z15" i="11"/>
  <c r="AB21" i="11"/>
  <c r="Y21" i="11"/>
  <c r="T21" i="11"/>
  <c r="S15" i="11"/>
  <c r="AA15" i="11"/>
  <c r="W15" i="11"/>
  <c r="R15" i="11"/>
  <c r="V21" i="11"/>
  <c r="Z21" i="11"/>
  <c r="T15" i="11"/>
  <c r="AA21" i="11"/>
  <c r="X21" i="11"/>
  <c r="AB15" i="11"/>
  <c r="W21" i="11"/>
  <c r="S21" i="11"/>
  <c r="AC21" i="11"/>
  <c r="U21" i="11"/>
  <c r="AN20" i="11" l="1"/>
  <c r="AM16" i="11"/>
  <c r="AM20" i="11" s="1"/>
  <c r="AM12" i="11"/>
  <c r="AO20" i="11"/>
  <c r="AD146" i="5"/>
  <c r="AG146" i="5"/>
  <c r="AD168" i="5"/>
  <c r="AD172" i="5" s="1"/>
  <c r="AD194" i="5" s="1"/>
  <c r="AD197" i="5" s="1"/>
  <c r="AD204" i="5" s="1"/>
  <c r="AD163" i="5"/>
  <c r="X146" i="5"/>
  <c r="AA146" i="5"/>
  <c r="BA15" i="11"/>
  <c r="BA16" i="11" s="1"/>
  <c r="BF16" i="11" s="1"/>
  <c r="AO12" i="11"/>
  <c r="AV42" i="11"/>
  <c r="AW42" i="11"/>
  <c r="AW41" i="11"/>
  <c r="AV41" i="11"/>
  <c r="BA12" i="11"/>
  <c r="AV44" i="11"/>
  <c r="AW44" i="11"/>
  <c r="BA18" i="11"/>
  <c r="BA19" i="11" s="1"/>
  <c r="BF19" i="11" s="1"/>
  <c r="AV43" i="11"/>
  <c r="AW43" i="11"/>
  <c r="AW49" i="11"/>
  <c r="AV49" i="11"/>
  <c r="AW48" i="11"/>
  <c r="AV48" i="11"/>
  <c r="AW47" i="11"/>
  <c r="AV47" i="11"/>
  <c r="AL45" i="11"/>
  <c r="AP45" i="11" s="1"/>
  <c r="AL48" i="11"/>
  <c r="AN12" i="11"/>
  <c r="BA8" i="11" l="1"/>
  <c r="BA9" i="11" s="1"/>
  <c r="BA10" i="11" s="1"/>
  <c r="BF18" i="11"/>
  <c r="BF15" i="11"/>
  <c r="BA13" i="11"/>
  <c r="BF13" i="11" s="1"/>
  <c r="AL52" i="11"/>
  <c r="AW46" i="11"/>
  <c r="AV46" i="11"/>
  <c r="BF12" i="11"/>
  <c r="BF10" i="11" l="1"/>
  <c r="BF9" i="11"/>
  <c r="AV53" i="11"/>
  <c r="AP52" i="11"/>
  <c r="AW53" i="11"/>
  <c r="Z260" i="5"/>
  <c r="W260" i="5"/>
  <c r="T260" i="5"/>
  <c r="AF260" i="5"/>
  <c r="AE260" i="5"/>
  <c r="AC260" i="5"/>
  <c r="AB260" i="5"/>
  <c r="Y259" i="5"/>
  <c r="Y260" i="5" l="1"/>
  <c r="V260" i="5"/>
  <c r="AE257" i="5"/>
  <c r="AC257" i="5"/>
  <c r="AB257" i="5"/>
  <c r="Z257" i="5"/>
  <c r="Y257" i="5"/>
  <c r="W257" i="5"/>
  <c r="V257" i="5"/>
  <c r="T257" i="5"/>
  <c r="AD30" i="8" l="1"/>
  <c r="AD31" i="8"/>
  <c r="AD29" i="8"/>
  <c r="AD28" i="8"/>
  <c r="AD27" i="8"/>
  <c r="AD26" i="8"/>
  <c r="AA30" i="8"/>
  <c r="AA31" i="8"/>
  <c r="AA29" i="8"/>
  <c r="AA28" i="8"/>
  <c r="AA27" i="8"/>
  <c r="AA26" i="8"/>
  <c r="AH76" i="5" l="1"/>
  <c r="AG76" i="5"/>
  <c r="AF32" i="8" l="1"/>
  <c r="AE32" i="8"/>
  <c r="AC32" i="8"/>
  <c r="AC33" i="8" s="1"/>
  <c r="AB32" i="8"/>
  <c r="Z32" i="8"/>
  <c r="Z33" i="8" s="1"/>
  <c r="Y32" i="8"/>
  <c r="Y33" i="8" s="1"/>
  <c r="V32" i="8"/>
  <c r="V33" i="8" s="1"/>
  <c r="AQ50" i="8"/>
  <c r="AN50" i="8"/>
  <c r="AH50" i="8"/>
  <c r="AG50" i="8"/>
  <c r="AF50" i="8"/>
  <c r="AE50" i="8"/>
  <c r="AD50" i="8"/>
  <c r="AC50" i="8"/>
  <c r="AB50" i="8"/>
  <c r="AA50" i="8"/>
  <c r="Z50" i="8"/>
  <c r="Y50" i="8"/>
  <c r="X50" i="8"/>
  <c r="W50" i="8"/>
  <c r="V50" i="8"/>
  <c r="U50" i="8"/>
  <c r="T50" i="8"/>
  <c r="AQ41" i="8"/>
  <c r="AN41" i="8"/>
  <c r="AH41" i="8"/>
  <c r="AE41" i="8"/>
  <c r="AB41" i="8"/>
  <c r="Y41" i="8"/>
  <c r="V41" i="8"/>
  <c r="AE38" i="8"/>
  <c r="AB38" i="8"/>
  <c r="Y38" i="8"/>
  <c r="V38" i="8"/>
  <c r="AF21" i="8"/>
  <c r="AE21" i="8"/>
  <c r="AC21" i="8"/>
  <c r="Z21" i="8"/>
  <c r="Y21" i="8"/>
  <c r="W21" i="8"/>
  <c r="V21" i="8"/>
  <c r="U21" i="8"/>
  <c r="T21" i="8"/>
  <c r="AE18" i="8"/>
  <c r="AE23" i="8" s="1"/>
  <c r="AD18" i="8"/>
  <c r="AD23" i="8" s="1"/>
  <c r="AC18" i="8"/>
  <c r="AC23" i="8" s="1"/>
  <c r="AB18" i="8"/>
  <c r="AB23" i="8" s="1"/>
  <c r="AA18" i="8"/>
  <c r="AA23" i="8" s="1"/>
  <c r="Z18" i="8"/>
  <c r="Z23" i="8" s="1"/>
  <c r="Y18" i="8"/>
  <c r="Y23" i="8" s="1"/>
  <c r="X18" i="8"/>
  <c r="X23" i="8" s="1"/>
  <c r="W18" i="8"/>
  <c r="W23" i="8" s="1"/>
  <c r="V18" i="8"/>
  <c r="V23" i="8" s="1"/>
  <c r="U18" i="8"/>
  <c r="U23" i="8" s="1"/>
  <c r="T18" i="8"/>
  <c r="T23" i="8" s="1"/>
  <c r="AE17" i="8"/>
  <c r="AC17" i="8"/>
  <c r="AB17" i="8"/>
  <c r="Z17" i="8"/>
  <c r="Y17" i="8"/>
  <c r="W17" i="8"/>
  <c r="V17" i="8"/>
  <c r="T17" i="8"/>
  <c r="AE16" i="8"/>
  <c r="AC16" i="8"/>
  <c r="AB16" i="8"/>
  <c r="Z16" i="8"/>
  <c r="Y16" i="8"/>
  <c r="W16" i="8"/>
  <c r="V16" i="8"/>
  <c r="T16" i="8"/>
  <c r="AF18" i="8"/>
  <c r="AF23" i="8" s="1"/>
  <c r="AF17" i="8"/>
  <c r="AF16" i="8"/>
  <c r="AE12" i="8"/>
  <c r="AC12" i="8"/>
  <c r="AB12" i="8"/>
  <c r="Z12" i="8"/>
  <c r="Y12" i="8"/>
  <c r="W12" i="8"/>
  <c r="V12" i="8"/>
  <c r="U12" i="8"/>
  <c r="T12" i="8"/>
  <c r="AE11" i="8"/>
  <c r="AC11" i="8"/>
  <c r="Z11" i="8"/>
  <c r="Y11" i="8"/>
  <c r="W11" i="8"/>
  <c r="V11" i="8"/>
  <c r="U11" i="8"/>
  <c r="T11" i="8"/>
  <c r="AE10" i="8"/>
  <c r="AC10" i="8"/>
  <c r="AB10" i="8"/>
  <c r="Z10" i="8"/>
  <c r="Y10" i="8"/>
  <c r="W10" i="8"/>
  <c r="V10" i="8"/>
  <c r="U10" i="8"/>
  <c r="T10" i="8"/>
  <c r="AE9" i="8"/>
  <c r="AC9" i="8"/>
  <c r="AB9" i="8"/>
  <c r="Z9" i="8"/>
  <c r="Y9" i="8"/>
  <c r="W9" i="8"/>
  <c r="V9" i="8"/>
  <c r="U9" i="8"/>
  <c r="T9" i="8"/>
  <c r="AF12" i="8"/>
  <c r="AF11" i="8"/>
  <c r="AF10" i="8"/>
  <c r="AF9" i="8"/>
  <c r="AE13" i="8"/>
  <c r="AD13" i="8"/>
  <c r="AC13" i="8"/>
  <c r="AB13" i="8"/>
  <c r="AA13" i="8"/>
  <c r="Z13" i="8"/>
  <c r="Y13" i="8"/>
  <c r="X13" i="8"/>
  <c r="W13" i="8"/>
  <c r="V13" i="8"/>
  <c r="U13" i="8"/>
  <c r="T13" i="8"/>
  <c r="AF13" i="8"/>
  <c r="AQ6" i="8"/>
  <c r="AP6" i="8"/>
  <c r="AO6" i="8"/>
  <c r="AN6" i="8"/>
  <c r="AM6" i="8"/>
  <c r="AL6" i="8"/>
  <c r="AK6" i="8"/>
  <c r="AJ6" i="8"/>
  <c r="AI6" i="8"/>
  <c r="AH6" i="8"/>
  <c r="AG6" i="8"/>
  <c r="AF6" i="8"/>
  <c r="AE6" i="8"/>
  <c r="AD6" i="8"/>
  <c r="AC6" i="8"/>
  <c r="AB6" i="8"/>
  <c r="AA6" i="8"/>
  <c r="Z6" i="8"/>
  <c r="Y6" i="8"/>
  <c r="X6" i="8"/>
  <c r="W6" i="8"/>
  <c r="V6" i="8"/>
  <c r="U6" i="8"/>
  <c r="T6" i="8"/>
  <c r="AD32" i="8" l="1"/>
  <c r="AD33" i="8" s="1"/>
  <c r="AF33" i="8"/>
  <c r="AG32" i="8"/>
  <c r="AG33" i="8" s="1"/>
  <c r="AE33" i="8"/>
  <c r="AB33" i="8"/>
  <c r="AA32" i="8"/>
  <c r="AA33" i="8" s="1"/>
  <c r="T22" i="8"/>
  <c r="AB22" i="8"/>
  <c r="AF22" i="8"/>
  <c r="U22" i="8"/>
  <c r="Y22" i="8"/>
  <c r="AC22" i="8"/>
  <c r="V22" i="8"/>
  <c r="Z22" i="8"/>
  <c r="W22" i="8"/>
  <c r="AE22" i="8"/>
  <c r="AF52" i="7"/>
  <c r="AF51" i="7"/>
  <c r="AF50" i="7"/>
  <c r="AF49" i="7"/>
  <c r="AF48" i="7"/>
  <c r="AF47" i="7"/>
  <c r="AF46" i="7"/>
  <c r="AF45" i="7"/>
  <c r="AF44" i="7"/>
  <c r="AF43" i="7"/>
  <c r="AF42" i="7"/>
  <c r="AF41" i="7"/>
  <c r="AF40" i="7"/>
  <c r="AF39" i="7"/>
  <c r="AC51" i="7"/>
  <c r="AC50" i="7"/>
  <c r="AC49" i="7"/>
  <c r="AC48" i="7"/>
  <c r="AC47" i="7"/>
  <c r="AC46" i="7"/>
  <c r="AC45" i="7"/>
  <c r="AC44" i="7"/>
  <c r="AC43" i="7"/>
  <c r="AC42" i="7"/>
  <c r="AC41" i="7"/>
  <c r="AC40" i="7"/>
  <c r="AC39" i="7"/>
  <c r="Z51" i="7"/>
  <c r="Z50" i="7"/>
  <c r="Z49" i="7"/>
  <c r="Z48" i="7"/>
  <c r="Z47" i="7"/>
  <c r="Z46" i="7"/>
  <c r="Z45" i="7"/>
  <c r="Z44" i="7"/>
  <c r="Z43" i="7"/>
  <c r="Z42" i="7"/>
  <c r="Z41" i="7"/>
  <c r="Z40" i="7"/>
  <c r="Z39" i="7"/>
  <c r="W51" i="7"/>
  <c r="W50" i="7"/>
  <c r="W49" i="7"/>
  <c r="W48" i="7"/>
  <c r="W47" i="7"/>
  <c r="W46" i="7"/>
  <c r="W45" i="7"/>
  <c r="W44" i="7"/>
  <c r="W43" i="7"/>
  <c r="W42" i="7"/>
  <c r="W41" i="7"/>
  <c r="W40" i="7"/>
  <c r="W39" i="7"/>
  <c r="T51" i="7"/>
  <c r="T50" i="7"/>
  <c r="T49" i="7"/>
  <c r="T48" i="7"/>
  <c r="T47" i="7"/>
  <c r="T46" i="7"/>
  <c r="T45" i="7"/>
  <c r="T44" i="7"/>
  <c r="T43" i="7"/>
  <c r="T42" i="7"/>
  <c r="T41" i="7"/>
  <c r="T40" i="7"/>
  <c r="T39" i="7"/>
  <c r="Q51" i="7"/>
  <c r="Q50" i="7"/>
  <c r="Q49" i="7"/>
  <c r="Q48" i="7"/>
  <c r="Q47" i="7"/>
  <c r="Q46" i="7"/>
  <c r="Q45" i="7"/>
  <c r="Q44" i="7"/>
  <c r="Q43" i="7"/>
  <c r="Q42" i="7"/>
  <c r="Q41" i="7"/>
  <c r="Q40" i="7"/>
  <c r="Q39" i="7"/>
  <c r="N51" i="7"/>
  <c r="N50" i="7"/>
  <c r="N49" i="7"/>
  <c r="N48" i="7"/>
  <c r="N47" i="7"/>
  <c r="N46" i="7"/>
  <c r="N45" i="7"/>
  <c r="N44" i="7"/>
  <c r="N43" i="7"/>
  <c r="N42" i="7"/>
  <c r="N41" i="7"/>
  <c r="N40" i="7"/>
  <c r="N39" i="7"/>
  <c r="K51" i="7"/>
  <c r="K50" i="7"/>
  <c r="K49" i="7"/>
  <c r="K48" i="7"/>
  <c r="K47" i="7"/>
  <c r="K46" i="7"/>
  <c r="K45" i="7"/>
  <c r="K44" i="7"/>
  <c r="K43" i="7"/>
  <c r="K42" i="7"/>
  <c r="K41" i="7"/>
  <c r="K40" i="7"/>
  <c r="K39" i="7"/>
  <c r="H51" i="7"/>
  <c r="H50" i="7"/>
  <c r="H49" i="7"/>
  <c r="H48" i="7"/>
  <c r="H47" i="7"/>
  <c r="H46" i="7"/>
  <c r="H45" i="7"/>
  <c r="H44" i="7"/>
  <c r="H43" i="7"/>
  <c r="H42" i="7"/>
  <c r="H41" i="7"/>
  <c r="H40" i="7"/>
  <c r="H39" i="7"/>
  <c r="E51" i="7"/>
  <c r="E50" i="7"/>
  <c r="E49" i="7"/>
  <c r="E48" i="7"/>
  <c r="E47" i="7"/>
  <c r="E46" i="7"/>
  <c r="E45" i="7"/>
  <c r="E44" i="7"/>
  <c r="E43" i="7"/>
  <c r="E42" i="7"/>
  <c r="E41" i="7"/>
  <c r="E40" i="7"/>
  <c r="E39" i="7"/>
  <c r="AJ52" i="7"/>
  <c r="AS38" i="7"/>
  <c r="AR38" i="7"/>
  <c r="AQ38" i="7"/>
  <c r="AP38" i="7"/>
  <c r="AO38" i="7"/>
  <c r="AN38" i="7"/>
  <c r="AM38" i="7"/>
  <c r="AL38" i="7"/>
  <c r="AK38" i="7"/>
  <c r="AJ38" i="7"/>
  <c r="AI38" i="7"/>
  <c r="AH38" i="7"/>
  <c r="AG38" i="7"/>
  <c r="AF38" i="7"/>
  <c r="AE38" i="7"/>
  <c r="AD38" i="7"/>
  <c r="AC38" i="7"/>
  <c r="AB38" i="7"/>
  <c r="AA38" i="7"/>
  <c r="Z38" i="7"/>
  <c r="Y38" i="7"/>
  <c r="X38" i="7"/>
  <c r="W38" i="7"/>
  <c r="V38" i="7"/>
  <c r="U38" i="7"/>
  <c r="T38" i="7"/>
  <c r="S38" i="7"/>
  <c r="R38" i="7"/>
  <c r="Q38" i="7"/>
  <c r="P38" i="7"/>
  <c r="O38" i="7"/>
  <c r="N38" i="7"/>
  <c r="M38" i="7"/>
  <c r="L38" i="7"/>
  <c r="K38" i="7"/>
  <c r="J38" i="7"/>
  <c r="I38" i="7"/>
  <c r="H38" i="7"/>
  <c r="G38" i="7"/>
  <c r="F38" i="7"/>
  <c r="E38" i="7"/>
  <c r="D38"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AJ36" i="7"/>
  <c r="AI20" i="7"/>
  <c r="AH20" i="7"/>
  <c r="AG20" i="7"/>
  <c r="AE20" i="7"/>
  <c r="AD20" i="7"/>
  <c r="AB20" i="7"/>
  <c r="AA20" i="7"/>
  <c r="Y20" i="7"/>
  <c r="X20" i="7"/>
  <c r="W20" i="7"/>
  <c r="V20" i="7"/>
  <c r="U20" i="7"/>
  <c r="T20" i="7"/>
  <c r="S20" i="7"/>
  <c r="R20" i="7"/>
  <c r="Q20" i="7"/>
  <c r="P20" i="7"/>
  <c r="O20" i="7"/>
  <c r="N20" i="7"/>
  <c r="M20" i="7"/>
  <c r="L20" i="7"/>
  <c r="K20" i="7"/>
  <c r="J20" i="7"/>
  <c r="I20" i="7"/>
  <c r="H20" i="7"/>
  <c r="G20" i="7"/>
  <c r="F20" i="7"/>
  <c r="E20" i="7"/>
  <c r="D20" i="7"/>
  <c r="AJ20" i="7"/>
  <c r="C4" i="7"/>
  <c r="C2" i="7"/>
  <c r="C1" i="7"/>
  <c r="X28" i="5"/>
  <c r="X24" i="5"/>
  <c r="X25" i="5" s="1"/>
  <c r="X20" i="5"/>
  <c r="X16" i="5"/>
  <c r="X17" i="5" s="1"/>
  <c r="X19" i="5" s="1"/>
  <c r="AA28" i="5"/>
  <c r="AA24" i="5"/>
  <c r="AA20" i="5"/>
  <c r="AA16" i="5"/>
  <c r="AA17" i="5" s="1"/>
  <c r="AA19" i="5" s="1"/>
  <c r="AF19" i="7"/>
  <c r="AC19" i="7"/>
  <c r="Z19" i="7"/>
  <c r="W19" i="7"/>
  <c r="T19" i="7"/>
  <c r="Q19" i="7"/>
  <c r="N19" i="7"/>
  <c r="K19" i="7"/>
  <c r="H19" i="7"/>
  <c r="E19" i="7"/>
  <c r="AF18" i="7"/>
  <c r="AC18" i="7"/>
  <c r="Z18" i="7"/>
  <c r="W18" i="7"/>
  <c r="T18" i="7"/>
  <c r="Q18" i="7"/>
  <c r="N18" i="7"/>
  <c r="K18" i="7"/>
  <c r="H18" i="7"/>
  <c r="E18" i="7"/>
  <c r="AF17" i="7"/>
  <c r="AC17" i="7"/>
  <c r="Z17" i="7"/>
  <c r="W17" i="7"/>
  <c r="T17" i="7"/>
  <c r="Q17" i="7"/>
  <c r="N17" i="7"/>
  <c r="K17" i="7"/>
  <c r="H17" i="7"/>
  <c r="E17" i="7"/>
  <c r="AF16" i="7"/>
  <c r="AC16" i="7"/>
  <c r="Z16" i="7"/>
  <c r="W16" i="7"/>
  <c r="T16" i="7"/>
  <c r="Q16" i="7"/>
  <c r="N16" i="7"/>
  <c r="K16" i="7"/>
  <c r="H16" i="7"/>
  <c r="E16" i="7"/>
  <c r="AF15" i="7"/>
  <c r="AC15" i="7"/>
  <c r="Z15" i="7"/>
  <c r="W15" i="7"/>
  <c r="T15" i="7"/>
  <c r="Q15" i="7"/>
  <c r="N15" i="7"/>
  <c r="K15" i="7"/>
  <c r="H15" i="7"/>
  <c r="E15" i="7"/>
  <c r="AF14" i="7"/>
  <c r="AC14" i="7"/>
  <c r="Z14" i="7"/>
  <c r="W14" i="7"/>
  <c r="T14" i="7"/>
  <c r="Q14" i="7"/>
  <c r="N14" i="7"/>
  <c r="K14" i="7"/>
  <c r="H14" i="7"/>
  <c r="E14" i="7"/>
  <c r="AF13" i="7"/>
  <c r="AC13" i="7"/>
  <c r="Z13" i="7"/>
  <c r="W13" i="7"/>
  <c r="T13" i="7"/>
  <c r="Q13" i="7"/>
  <c r="N13" i="7"/>
  <c r="K13" i="7"/>
  <c r="H13" i="7"/>
  <c r="E13" i="7"/>
  <c r="AF12" i="7"/>
  <c r="AC12" i="7"/>
  <c r="Z12" i="7"/>
  <c r="W12" i="7"/>
  <c r="T12" i="7"/>
  <c r="Q12" i="7"/>
  <c r="N12" i="7"/>
  <c r="K12" i="7"/>
  <c r="H12" i="7"/>
  <c r="E12" i="7"/>
  <c r="AF11" i="7"/>
  <c r="AC11" i="7"/>
  <c r="Z11" i="7"/>
  <c r="W11" i="7"/>
  <c r="T11" i="7"/>
  <c r="Q11" i="7"/>
  <c r="N11" i="7"/>
  <c r="K11" i="7"/>
  <c r="H11" i="7"/>
  <c r="E11" i="7"/>
  <c r="AF10" i="7"/>
  <c r="AC10" i="7"/>
  <c r="Z10" i="7"/>
  <c r="W10" i="7"/>
  <c r="T10" i="7"/>
  <c r="Q10" i="7"/>
  <c r="N10" i="7"/>
  <c r="K10" i="7"/>
  <c r="H10" i="7"/>
  <c r="E10" i="7"/>
  <c r="AF9" i="7"/>
  <c r="AC9" i="7"/>
  <c r="Z9" i="7"/>
  <c r="W9" i="7"/>
  <c r="T9" i="7"/>
  <c r="Q9" i="7"/>
  <c r="N9" i="7"/>
  <c r="K9" i="7"/>
  <c r="H9" i="7"/>
  <c r="E9" i="7"/>
  <c r="AF8" i="7"/>
  <c r="AC8" i="7"/>
  <c r="Z8" i="7"/>
  <c r="W8" i="7"/>
  <c r="T8" i="7"/>
  <c r="Q8" i="7"/>
  <c r="N8" i="7"/>
  <c r="K8" i="7"/>
  <c r="H8" i="7"/>
  <c r="E8" i="7"/>
  <c r="AF7" i="7"/>
  <c r="AC7" i="7"/>
  <c r="Z7" i="7"/>
  <c r="W7" i="7"/>
  <c r="T7" i="7"/>
  <c r="Q7" i="7"/>
  <c r="N7" i="7"/>
  <c r="K7" i="7"/>
  <c r="H7" i="7"/>
  <c r="E7" i="7"/>
  <c r="AS6" i="7"/>
  <c r="AR6" i="7"/>
  <c r="AQ6" i="7"/>
  <c r="AP6" i="7"/>
  <c r="AO6" i="7"/>
  <c r="AN6" i="7"/>
  <c r="AM6" i="7"/>
  <c r="AL6" i="7"/>
  <c r="AK6" i="7"/>
  <c r="AJ6" i="7"/>
  <c r="AI6" i="7"/>
  <c r="AH6" i="7"/>
  <c r="AG6" i="7"/>
  <c r="AF6" i="7"/>
  <c r="AE6" i="7"/>
  <c r="AD6" i="7"/>
  <c r="AC6" i="7"/>
  <c r="AB6" i="7"/>
  <c r="AA6" i="7"/>
  <c r="Z6" i="7"/>
  <c r="Y6" i="7"/>
  <c r="X6" i="7"/>
  <c r="W6" i="7"/>
  <c r="V6" i="7"/>
  <c r="U6" i="7"/>
  <c r="T6" i="7"/>
  <c r="S6" i="7"/>
  <c r="R6" i="7"/>
  <c r="Q6" i="7"/>
  <c r="P6" i="7"/>
  <c r="O6" i="7"/>
  <c r="N6" i="7"/>
  <c r="M6" i="7"/>
  <c r="L6" i="7"/>
  <c r="K6" i="7"/>
  <c r="J6" i="7"/>
  <c r="I6" i="7"/>
  <c r="H6" i="7"/>
  <c r="G6" i="7"/>
  <c r="F6" i="7"/>
  <c r="E6" i="7"/>
  <c r="D6" i="7"/>
  <c r="B351" i="6"/>
  <c r="B343" i="6"/>
  <c r="B326" i="6"/>
  <c r="B320" i="6"/>
  <c r="B315" i="6"/>
  <c r="B311" i="6"/>
  <c r="B307" i="6"/>
  <c r="A307" i="6"/>
  <c r="B296" i="6"/>
  <c r="A296" i="6"/>
  <c r="B287" i="6"/>
  <c r="B283" i="6"/>
  <c r="A283" i="6"/>
  <c r="B278" i="6"/>
  <c r="A278" i="6"/>
  <c r="B274" i="6"/>
  <c r="B269" i="6"/>
  <c r="B262" i="6"/>
  <c r="A262" i="6"/>
  <c r="B257" i="6"/>
  <c r="A257" i="6"/>
  <c r="B249" i="6"/>
  <c r="A249" i="6"/>
  <c r="B224" i="6"/>
  <c r="A224" i="6"/>
  <c r="B213" i="6"/>
  <c r="A213" i="6"/>
  <c r="B207" i="6"/>
  <c r="B202" i="6"/>
  <c r="B195" i="6"/>
  <c r="A195" i="6"/>
  <c r="B166" i="6"/>
  <c r="B160" i="6"/>
  <c r="B152" i="6"/>
  <c r="B148" i="6"/>
  <c r="B104" i="6"/>
  <c r="B97" i="6"/>
  <c r="AA25" i="5" l="1"/>
  <c r="AD25" i="5"/>
  <c r="AD29" i="5"/>
  <c r="AD31" i="5" s="1"/>
  <c r="AA29" i="5"/>
  <c r="AA31" i="5" s="1"/>
  <c r="X29" i="5"/>
  <c r="X31" i="5" s="1"/>
  <c r="AA21" i="5"/>
  <c r="AA23" i="5" s="1"/>
  <c r="X21" i="5"/>
  <c r="X23" i="5" s="1"/>
  <c r="AD17" i="5"/>
  <c r="AD19" i="5" s="1"/>
  <c r="AC20" i="7"/>
  <c r="AD21" i="5"/>
  <c r="AD23" i="5" s="1"/>
  <c r="AF10" i="11"/>
  <c r="AF43" i="11" s="1"/>
  <c r="AA10" i="8"/>
  <c r="X10" i="8"/>
  <c r="AD10" i="8"/>
  <c r="AF9" i="11"/>
  <c r="AF42" i="11" s="1"/>
  <c r="AD9" i="8"/>
  <c r="AF8" i="11"/>
  <c r="AF41" i="11" s="1"/>
  <c r="AA12" i="8"/>
  <c r="X12" i="8"/>
  <c r="AD12" i="8"/>
  <c r="AF11" i="11"/>
  <c r="AF44" i="11" s="1"/>
  <c r="AA9" i="8"/>
  <c r="X9" i="8"/>
  <c r="X21" i="8"/>
  <c r="X22" i="8" s="1"/>
  <c r="X11" i="8"/>
  <c r="AD21" i="8"/>
  <c r="AD22" i="8" s="1"/>
  <c r="AD11" i="8"/>
  <c r="AF20" i="7"/>
  <c r="AA11" i="8"/>
  <c r="AA21" i="8"/>
  <c r="AA22" i="8" s="1"/>
  <c r="Z20" i="7"/>
  <c r="B355" i="6"/>
  <c r="AF207" i="5"/>
  <c r="AE207" i="5"/>
  <c r="AC207" i="5"/>
  <c r="AB207" i="5"/>
  <c r="Z207" i="5"/>
  <c r="Y207" i="5"/>
  <c r="W207" i="5"/>
  <c r="V207" i="5"/>
  <c r="T207" i="5"/>
  <c r="AQ6" i="5"/>
  <c r="AP6" i="5"/>
  <c r="AO6" i="5"/>
  <c r="AN6" i="5"/>
  <c r="AM6" i="5"/>
  <c r="AL6" i="5"/>
  <c r="AK6" i="5"/>
  <c r="AJ6" i="5"/>
  <c r="AI6" i="5"/>
  <c r="AH6" i="5"/>
  <c r="AG6" i="5"/>
  <c r="X26" i="5" l="1"/>
  <c r="AA26" i="5"/>
  <c r="AD150" i="5"/>
  <c r="AA150" i="5"/>
  <c r="AD149" i="5"/>
  <c r="AA149" i="5"/>
  <c r="AF102" i="5"/>
  <c r="AE102" i="5"/>
  <c r="AC102" i="5"/>
  <c r="AB102" i="5"/>
  <c r="AA102" i="5"/>
  <c r="Z102" i="5"/>
  <c r="Y102" i="5"/>
  <c r="X102" i="5"/>
  <c r="W102" i="5"/>
  <c r="U102" i="5"/>
  <c r="T102" i="5"/>
  <c r="AF101" i="5"/>
  <c r="AE101" i="5"/>
  <c r="AC101" i="5"/>
  <c r="AB101" i="5"/>
  <c r="AA101" i="5"/>
  <c r="Z101" i="5"/>
  <c r="Y101" i="5"/>
  <c r="X101" i="5"/>
  <c r="W101" i="5"/>
  <c r="V101" i="5"/>
  <c r="U101" i="5"/>
  <c r="T101" i="5"/>
  <c r="AF100" i="5"/>
  <c r="AE100" i="5"/>
  <c r="AC100" i="5"/>
  <c r="AB100" i="5"/>
  <c r="AA100" i="5"/>
  <c r="Y100" i="5"/>
  <c r="X100" i="5"/>
  <c r="W100" i="5"/>
  <c r="V100" i="5"/>
  <c r="U100" i="5"/>
  <c r="AF99" i="5"/>
  <c r="AE99" i="5"/>
  <c r="AC99" i="5"/>
  <c r="AB99" i="5"/>
  <c r="AA99" i="5"/>
  <c r="Z99" i="5"/>
  <c r="Y99" i="5"/>
  <c r="X99" i="5"/>
  <c r="W99" i="5"/>
  <c r="V99" i="5"/>
  <c r="U99" i="5"/>
  <c r="T99" i="5"/>
  <c r="AF93" i="5"/>
  <c r="AE93" i="5"/>
  <c r="AD93" i="5"/>
  <c r="AC93" i="5"/>
  <c r="AB93" i="5"/>
  <c r="AA93" i="5"/>
  <c r="Z93" i="5"/>
  <c r="Y93" i="5"/>
  <c r="X93" i="5"/>
  <c r="X94" i="5" s="1"/>
  <c r="W93" i="5"/>
  <c r="W94" i="5" s="1"/>
  <c r="W96" i="5" s="1"/>
  <c r="AD60" i="5"/>
  <c r="AD58" i="5"/>
  <c r="AE54" i="5"/>
  <c r="AB54" i="5"/>
  <c r="AF47" i="5"/>
  <c r="AE47" i="5"/>
  <c r="AD47" i="5"/>
  <c r="AC47" i="5"/>
  <c r="AB47" i="5"/>
  <c r="AA47" i="5"/>
  <c r="Z47" i="5"/>
  <c r="Y47" i="5"/>
  <c r="X47" i="5"/>
  <c r="W47" i="5"/>
  <c r="AD42" i="5"/>
  <c r="AA42" i="5"/>
  <c r="X42" i="5"/>
  <c r="U42" i="5"/>
  <c r="AD38" i="5"/>
  <c r="AA38" i="5"/>
  <c r="X38" i="5"/>
  <c r="U38" i="5"/>
  <c r="AF33" i="5"/>
  <c r="AF35" i="5" s="1"/>
  <c r="AE33" i="5"/>
  <c r="AE35" i="5" s="1"/>
  <c r="AD33" i="5"/>
  <c r="AD35" i="5" s="1"/>
  <c r="AC33" i="5"/>
  <c r="AC35" i="5" s="1"/>
  <c r="AB33" i="5"/>
  <c r="AB35" i="5" s="1"/>
  <c r="AA33" i="5"/>
  <c r="AA35" i="5" s="1"/>
  <c r="Z33" i="5"/>
  <c r="Z35" i="5" s="1"/>
  <c r="Y33" i="5"/>
  <c r="Y35" i="5" s="1"/>
  <c r="X33" i="5"/>
  <c r="X35" i="5" s="1"/>
  <c r="W33" i="5"/>
  <c r="W35" i="5" s="1"/>
  <c r="V35" i="5"/>
  <c r="AF12" i="5"/>
  <c r="AC12" i="5"/>
  <c r="Z12" i="5"/>
  <c r="W12" i="5"/>
  <c r="T12" i="5"/>
  <c r="AD7" i="5"/>
  <c r="AA7" i="5"/>
  <c r="X7" i="5"/>
  <c r="U7" i="5"/>
  <c r="AF61" i="5" l="1"/>
  <c r="AI94" i="5"/>
  <c r="AI96" i="5" s="1"/>
  <c r="AA43" i="5"/>
  <c r="AA45" i="5" s="1"/>
  <c r="AA94" i="5"/>
  <c r="AA96" i="5" s="1"/>
  <c r="AB97" i="5"/>
  <c r="AB94" i="5"/>
  <c r="AB96" i="5" s="1"/>
  <c r="Y97" i="5"/>
  <c r="Y94" i="5"/>
  <c r="Y96" i="5" s="1"/>
  <c r="Z94" i="5"/>
  <c r="Z96" i="5" s="1"/>
  <c r="AE117" i="5"/>
  <c r="AE125" i="5" s="1"/>
  <c r="AE97" i="5"/>
  <c r="AG94" i="5"/>
  <c r="AG96" i="5" s="1"/>
  <c r="AD103" i="5"/>
  <c r="AD43" i="5"/>
  <c r="AD45" i="5" s="1"/>
  <c r="AG43" i="5"/>
  <c r="AG45" i="5" s="1"/>
  <c r="X43" i="5"/>
  <c r="U16" i="8"/>
  <c r="X16" i="8"/>
  <c r="X39" i="5"/>
  <c r="AD17" i="8"/>
  <c r="AA17" i="8"/>
  <c r="AA16" i="8"/>
  <c r="AA39" i="5"/>
  <c r="AA41" i="5" s="1"/>
  <c r="U17" i="8"/>
  <c r="AD16" i="8"/>
  <c r="AD39" i="5"/>
  <c r="AD41" i="5" s="1"/>
  <c r="AG39" i="5"/>
  <c r="AG41" i="5" s="1"/>
  <c r="X17" i="8"/>
  <c r="U12" i="5"/>
  <c r="X12" i="5"/>
  <c r="X8" i="5"/>
  <c r="AA12" i="5"/>
  <c r="AA8" i="5"/>
  <c r="AD12" i="5"/>
  <c r="AD8" i="5"/>
  <c r="AG8" i="5"/>
  <c r="AD66" i="5"/>
  <c r="AD117" i="5"/>
  <c r="AD125" i="5" s="1"/>
  <c r="W66" i="5"/>
  <c r="W117" i="5"/>
  <c r="W125" i="5" s="1"/>
  <c r="AA66" i="5"/>
  <c r="AA117" i="5"/>
  <c r="AA125" i="5" s="1"/>
  <c r="AB66" i="5"/>
  <c r="AB117" i="5"/>
  <c r="AB125" i="5" s="1"/>
  <c r="Y66" i="5"/>
  <c r="Y117" i="5"/>
  <c r="Y125" i="5" s="1"/>
  <c r="AC66" i="5"/>
  <c r="AC117" i="5"/>
  <c r="AC125" i="5" s="1"/>
  <c r="Z66" i="5"/>
  <c r="Z117" i="5"/>
  <c r="Z125" i="5" s="1"/>
  <c r="X66" i="5"/>
  <c r="X117" i="5"/>
  <c r="X125" i="5" s="1"/>
  <c r="AF66" i="5"/>
  <c r="AF117" i="5"/>
  <c r="AF125" i="5" s="1"/>
  <c r="AE66" i="5"/>
  <c r="AH94" i="5"/>
  <c r="AH96" i="5" s="1"/>
  <c r="W61" i="5"/>
  <c r="W73" i="5" s="1"/>
  <c r="W74" i="5" s="1"/>
  <c r="W111" i="5"/>
  <c r="W118" i="5" s="1"/>
  <c r="W123" i="5" s="1"/>
  <c r="AA61" i="5"/>
  <c r="AA73" i="5" s="1"/>
  <c r="AA74" i="5" s="1"/>
  <c r="AA111" i="5"/>
  <c r="AA118" i="5" s="1"/>
  <c r="AA123" i="5" s="1"/>
  <c r="AG20" i="11"/>
  <c r="AE111" i="5"/>
  <c r="AE118" i="5" s="1"/>
  <c r="AE123" i="5" s="1"/>
  <c r="X61" i="5"/>
  <c r="X73" i="5" s="1"/>
  <c r="X74" i="5" s="1"/>
  <c r="X111" i="5"/>
  <c r="X118" i="5" s="1"/>
  <c r="X123" i="5" s="1"/>
  <c r="X127" i="5" s="1"/>
  <c r="AD20" i="11"/>
  <c r="AD52" i="11" s="1"/>
  <c r="AW51" i="11" s="1"/>
  <c r="AB111" i="5"/>
  <c r="AB118" i="5" s="1"/>
  <c r="AB123" i="5" s="1"/>
  <c r="AH20" i="11"/>
  <c r="AF111" i="5"/>
  <c r="AF118" i="5" s="1"/>
  <c r="AF123" i="5" s="1"/>
  <c r="AF127" i="5" s="1"/>
  <c r="Y61" i="5"/>
  <c r="Y73" i="5" s="1"/>
  <c r="Y74" i="5" s="1"/>
  <c r="Y111" i="5"/>
  <c r="Y118" i="5" s="1"/>
  <c r="Y123" i="5" s="1"/>
  <c r="AE20" i="11"/>
  <c r="AE52" i="11" s="1"/>
  <c r="AC61" i="5"/>
  <c r="AC111" i="5"/>
  <c r="AC118" i="5" s="1"/>
  <c r="AC123" i="5" s="1"/>
  <c r="V61" i="5"/>
  <c r="V73" i="5" s="1"/>
  <c r="V74" i="5" s="1"/>
  <c r="V118" i="5"/>
  <c r="V123" i="5" s="1"/>
  <c r="U117" i="5"/>
  <c r="U125" i="5" s="1"/>
  <c r="Z61" i="5"/>
  <c r="Z111" i="5"/>
  <c r="Z118" i="5" s="1"/>
  <c r="Z123" i="5" s="1"/>
  <c r="AF20" i="11"/>
  <c r="AD61" i="5"/>
  <c r="AD111" i="5"/>
  <c r="AD118" i="5" s="1"/>
  <c r="AD123" i="5" s="1"/>
  <c r="AD127" i="5" s="1"/>
  <c r="T61" i="5"/>
  <c r="T53" i="8"/>
  <c r="U149" i="5"/>
  <c r="V150" i="5"/>
  <c r="U150" i="5" s="1"/>
  <c r="X149" i="5"/>
  <c r="Y150" i="5"/>
  <c r="X150" i="5" s="1"/>
  <c r="X103" i="5"/>
  <c r="X98" i="5" s="1"/>
  <c r="AF103" i="5"/>
  <c r="AF98" i="5" s="1"/>
  <c r="T123" i="5"/>
  <c r="T127" i="5" s="1"/>
  <c r="AD76" i="5"/>
  <c r="AD56" i="8"/>
  <c r="AD55" i="8"/>
  <c r="AD54" i="8"/>
  <c r="AD52" i="8"/>
  <c r="AD53" i="8"/>
  <c r="W76" i="5"/>
  <c r="W56" i="8"/>
  <c r="W55" i="8"/>
  <c r="W54" i="8"/>
  <c r="W53" i="8"/>
  <c r="W52" i="8"/>
  <c r="AA76" i="5"/>
  <c r="AA56" i="8"/>
  <c r="AA55" i="8"/>
  <c r="AA54" i="8"/>
  <c r="AA53" i="8"/>
  <c r="AA52" i="8"/>
  <c r="AE76" i="5"/>
  <c r="AE56" i="8"/>
  <c r="AE55" i="8"/>
  <c r="AE54" i="8"/>
  <c r="AE53" i="8"/>
  <c r="AE52" i="8"/>
  <c r="AE56" i="5"/>
  <c r="T76" i="5"/>
  <c r="T56" i="8"/>
  <c r="T55" i="8"/>
  <c r="T54" i="8"/>
  <c r="T52" i="8"/>
  <c r="X76" i="5"/>
  <c r="X56" i="8"/>
  <c r="X55" i="8"/>
  <c r="X54" i="8"/>
  <c r="X53" i="8"/>
  <c r="X52" i="8"/>
  <c r="AB103" i="5"/>
  <c r="AB98" i="5" s="1"/>
  <c r="AB76" i="5"/>
  <c r="AB56" i="8"/>
  <c r="AB55" i="8"/>
  <c r="AB54" i="8"/>
  <c r="AB53" i="8"/>
  <c r="AB52" i="8"/>
  <c r="AF76" i="5"/>
  <c r="AF56" i="8"/>
  <c r="AF55" i="8"/>
  <c r="AF54" i="8"/>
  <c r="AF53" i="8"/>
  <c r="AF52" i="8"/>
  <c r="AB56" i="5"/>
  <c r="F52" i="7"/>
  <c r="E52" i="7" s="1"/>
  <c r="V76" i="5"/>
  <c r="V56" i="8"/>
  <c r="V54" i="8"/>
  <c r="V52" i="8"/>
  <c r="V55" i="8"/>
  <c r="V53" i="8"/>
  <c r="Z76" i="5"/>
  <c r="Z55" i="8"/>
  <c r="Z53" i="8"/>
  <c r="Z56" i="8"/>
  <c r="Z54" i="8"/>
  <c r="Z52" i="8"/>
  <c r="Y76" i="5"/>
  <c r="Y56" i="8"/>
  <c r="Y53" i="8"/>
  <c r="Y55" i="8"/>
  <c r="Y54" i="8"/>
  <c r="Y52" i="8"/>
  <c r="AC76" i="5"/>
  <c r="AC56" i="8"/>
  <c r="AC55" i="8"/>
  <c r="AC54" i="8"/>
  <c r="AC52" i="8"/>
  <c r="AC53" i="8"/>
  <c r="T103" i="5"/>
  <c r="T98" i="5" s="1"/>
  <c r="I52" i="7"/>
  <c r="H52" i="7" s="1"/>
  <c r="O52" i="7"/>
  <c r="N52" i="7" s="1"/>
  <c r="J52" i="7"/>
  <c r="Y103" i="5"/>
  <c r="Y98" i="5" s="1"/>
  <c r="L52" i="7"/>
  <c r="K52" i="7" s="1"/>
  <c r="AC103" i="5"/>
  <c r="AC98" i="5" s="1"/>
  <c r="AF94" i="5"/>
  <c r="AF96" i="5" s="1"/>
  <c r="Z103" i="5"/>
  <c r="Z98" i="5" s="1"/>
  <c r="P52" i="7"/>
  <c r="AC94" i="5"/>
  <c r="AC96" i="5" s="1"/>
  <c r="AE103" i="5"/>
  <c r="AE98" i="5" s="1"/>
  <c r="V103" i="5"/>
  <c r="V98" i="5" s="1"/>
  <c r="AD98" i="5"/>
  <c r="AD94" i="5"/>
  <c r="AD96" i="5" s="1"/>
  <c r="AE94" i="5"/>
  <c r="AE96" i="5" s="1"/>
  <c r="AA103" i="5"/>
  <c r="AA98" i="5" s="1"/>
  <c r="W103" i="5"/>
  <c r="W98" i="5" s="1"/>
  <c r="AF6" i="5"/>
  <c r="AE6" i="5"/>
  <c r="AD6" i="5"/>
  <c r="AC6" i="5"/>
  <c r="AB6" i="5"/>
  <c r="AA6" i="5"/>
  <c r="Z6" i="5"/>
  <c r="Y6" i="5"/>
  <c r="X6" i="5"/>
  <c r="W6" i="5"/>
  <c r="V6" i="5"/>
  <c r="U6" i="5"/>
  <c r="T6" i="5"/>
  <c r="AB45" i="8" l="1"/>
  <c r="AB44" i="8"/>
  <c r="AB43" i="8"/>
  <c r="AE43" i="8"/>
  <c r="AE45" i="8"/>
  <c r="AE44" i="8"/>
  <c r="T62" i="5"/>
  <c r="T73" i="5"/>
  <c r="T74" i="5" s="1"/>
  <c r="AB52" i="7"/>
  <c r="Z73" i="5"/>
  <c r="Z74" i="5" s="1"/>
  <c r="AD62" i="5"/>
  <c r="AD73" i="5"/>
  <c r="AD74" i="5" s="1"/>
  <c r="AC62" i="5"/>
  <c r="AC73" i="5"/>
  <c r="AC74" i="5" s="1"/>
  <c r="AF62" i="5"/>
  <c r="AF73" i="5"/>
  <c r="AF74" i="5" s="1"/>
  <c r="AE64" i="5"/>
  <c r="AE65" i="5" s="1"/>
  <c r="T57" i="8"/>
  <c r="AF52" i="11"/>
  <c r="AI21" i="11"/>
  <c r="AH15" i="11"/>
  <c r="AH52" i="11"/>
  <c r="AG52" i="11"/>
  <c r="AJ21" i="11"/>
  <c r="AE132" i="5"/>
  <c r="U111" i="5"/>
  <c r="U118" i="5" s="1"/>
  <c r="U123" i="5" s="1"/>
  <c r="U127" i="5" s="1"/>
  <c r="U66" i="5"/>
  <c r="U61" i="5"/>
  <c r="U52" i="8"/>
  <c r="U103" i="5"/>
  <c r="U98" i="5" s="1"/>
  <c r="U54" i="8"/>
  <c r="AE15" i="11"/>
  <c r="AE21" i="11"/>
  <c r="W56" i="5"/>
  <c r="W62" i="5"/>
  <c r="V56" i="5"/>
  <c r="V62" i="5"/>
  <c r="AD21" i="11"/>
  <c r="AG21" i="11"/>
  <c r="Z56" i="5"/>
  <c r="Z62" i="5"/>
  <c r="X56" i="5"/>
  <c r="X62" i="5"/>
  <c r="AA56" i="5"/>
  <c r="AA62" i="5"/>
  <c r="Y52" i="7"/>
  <c r="AD15" i="11"/>
  <c r="AG15" i="11"/>
  <c r="AV51" i="11"/>
  <c r="Y56" i="5"/>
  <c r="Y62" i="5"/>
  <c r="U56" i="8"/>
  <c r="U76" i="5"/>
  <c r="U53" i="8"/>
  <c r="AA52" i="7"/>
  <c r="Z52" i="7" s="1"/>
  <c r="U52" i="7"/>
  <c r="T52" i="7" s="1"/>
  <c r="U55" i="8"/>
  <c r="S52" i="7"/>
  <c r="AH21" i="11"/>
  <c r="AF21" i="11"/>
  <c r="X52" i="7"/>
  <c r="W52" i="7" s="1"/>
  <c r="AF15" i="11"/>
  <c r="V52" i="7"/>
  <c r="T56" i="5"/>
  <c r="AE127" i="5"/>
  <c r="AB64" i="5"/>
  <c r="AB65" i="5" s="1"/>
  <c r="AA131" i="5"/>
  <c r="AB127" i="5"/>
  <c r="AA127" i="5"/>
  <c r="AB61" i="5"/>
  <c r="AB73" i="5" s="1"/>
  <c r="AB74" i="5" s="1"/>
  <c r="AD131" i="5"/>
  <c r="AC127" i="5"/>
  <c r="W131" i="5"/>
  <c r="W127" i="5"/>
  <c r="AE131" i="5"/>
  <c r="AE61" i="5"/>
  <c r="AE73" i="5" s="1"/>
  <c r="AE74" i="5" s="1"/>
  <c r="Y127" i="5"/>
  <c r="V132" i="5"/>
  <c r="V127" i="5"/>
  <c r="Z127" i="5"/>
  <c r="AF152" i="5"/>
  <c r="AE152" i="5"/>
  <c r="AD152" i="5"/>
  <c r="AC152" i="5"/>
  <c r="AB152" i="5"/>
  <c r="AA152" i="5"/>
  <c r="Z152" i="5"/>
  <c r="Y152" i="5"/>
  <c r="X152" i="5"/>
  <c r="W152" i="5"/>
  <c r="V152" i="5"/>
  <c r="U152" i="5"/>
  <c r="T152" i="5"/>
  <c r="AB46" i="8" l="1"/>
  <c r="AB47" i="8" s="1"/>
  <c r="AE46" i="8"/>
  <c r="AE47" i="8" s="1"/>
  <c r="Y45" i="8"/>
  <c r="Y44" i="8"/>
  <c r="Y43" i="8"/>
  <c r="V44" i="8"/>
  <c r="V43" i="8"/>
  <c r="V45" i="8"/>
  <c r="U62" i="5"/>
  <c r="U73" i="5"/>
  <c r="U74" i="5" s="1"/>
  <c r="AE62" i="5"/>
  <c r="Y55" i="5"/>
  <c r="V133" i="5"/>
  <c r="Y133" i="5"/>
  <c r="AH133" i="5"/>
  <c r="AE133" i="5"/>
  <c r="V64" i="5"/>
  <c r="V65" i="5" s="1"/>
  <c r="U56" i="5"/>
  <c r="U64" i="5" s="1"/>
  <c r="U65" i="5" s="1"/>
  <c r="V139" i="5"/>
  <c r="AD132" i="5"/>
  <c r="AE139" i="5"/>
  <c r="Z64" i="5"/>
  <c r="Z65" i="5" s="1"/>
  <c r="AA64" i="5"/>
  <c r="AA65" i="5" s="1"/>
  <c r="Y64" i="5"/>
  <c r="Y65" i="5" s="1"/>
  <c r="V55" i="5"/>
  <c r="AD52" i="7"/>
  <c r="AC52" i="7" s="1"/>
  <c r="AB62" i="5"/>
  <c r="X64" i="5"/>
  <c r="X65" i="5" s="1"/>
  <c r="W64" i="5"/>
  <c r="W65" i="5" s="1"/>
  <c r="T64" i="5"/>
  <c r="T65" i="5" s="1"/>
  <c r="X131" i="5"/>
  <c r="V131" i="5"/>
  <c r="AB131" i="5"/>
  <c r="Y131" i="5"/>
  <c r="Z131" i="5"/>
  <c r="AC131" i="5"/>
  <c r="Y46" i="8" l="1"/>
  <c r="Y47" i="8" s="1"/>
  <c r="AG133" i="5"/>
  <c r="AD133" i="5"/>
  <c r="AD139" i="5"/>
  <c r="X133" i="5"/>
  <c r="AA196" i="5"/>
  <c r="X196" i="5"/>
  <c r="U196" i="5"/>
  <c r="AA195" i="5"/>
  <c r="X195" i="5"/>
  <c r="U195" i="5"/>
  <c r="AA187" i="5"/>
  <c r="X187" i="5"/>
  <c r="AA186" i="5"/>
  <c r="X186" i="5"/>
  <c r="U186" i="5"/>
  <c r="AA184" i="5"/>
  <c r="L10" i="12" s="1"/>
  <c r="O11" i="12" s="1"/>
  <c r="X184" i="5"/>
  <c r="I10" i="12" s="1"/>
  <c r="U184" i="5"/>
  <c r="F10" i="12" s="1"/>
  <c r="AA182" i="5"/>
  <c r="X182" i="5"/>
  <c r="U182" i="5"/>
  <c r="AA179" i="5"/>
  <c r="X179" i="5"/>
  <c r="U179" i="5"/>
  <c r="U178" i="5"/>
  <c r="U177" i="5"/>
  <c r="AA176" i="5"/>
  <c r="X176" i="5"/>
  <c r="U176" i="5"/>
  <c r="AA175" i="5"/>
  <c r="AA174" i="5"/>
  <c r="X174" i="5"/>
  <c r="U174" i="5"/>
  <c r="AA171" i="5"/>
  <c r="X171" i="5"/>
  <c r="U171" i="5"/>
  <c r="AA170" i="5"/>
  <c r="X170" i="5"/>
  <c r="U170" i="5"/>
  <c r="AA160" i="5"/>
  <c r="X160" i="5"/>
  <c r="U160" i="5"/>
  <c r="AA159" i="5"/>
  <c r="X159" i="5"/>
  <c r="U159" i="5"/>
  <c r="AA158" i="5"/>
  <c r="X158" i="5"/>
  <c r="AA157" i="5"/>
  <c r="X157" i="5"/>
  <c r="U157" i="5"/>
  <c r="AA155" i="5"/>
  <c r="X155" i="5"/>
  <c r="U155" i="5"/>
  <c r="U161" i="5"/>
  <c r="AA153" i="5"/>
  <c r="X153" i="5"/>
  <c r="U153" i="5"/>
  <c r="V46" i="8" l="1"/>
  <c r="V47" i="8" s="1"/>
  <c r="U162" i="5"/>
  <c r="U163" i="5" s="1"/>
  <c r="U168" i="5" s="1"/>
  <c r="U172" i="5" s="1"/>
  <c r="X162" i="5"/>
  <c r="X163" i="5" s="1"/>
  <c r="X168" i="5" s="1"/>
  <c r="X172" i="5" s="1"/>
  <c r="AA162" i="5"/>
  <c r="AA163" i="5" s="1"/>
  <c r="X193" i="5"/>
  <c r="X180" i="5"/>
  <c r="AA180" i="5"/>
  <c r="U180" i="5"/>
  <c r="AA193" i="5"/>
  <c r="U193" i="5"/>
  <c r="U194" i="5" l="1"/>
  <c r="U197" i="5" s="1"/>
  <c r="U204" i="5" s="1"/>
  <c r="AA168" i="5"/>
  <c r="AA172" i="5" s="1"/>
  <c r="AA194" i="5" s="1"/>
  <c r="AA197" i="5" s="1"/>
  <c r="AA204" i="5" s="1"/>
  <c r="X194" i="5"/>
  <c r="X197" i="5" s="1"/>
  <c r="D3" i="5" l="1"/>
  <c r="R52" i="7"/>
  <c r="Q52" i="7" s="1"/>
  <c r="D3" i="8" l="1"/>
  <c r="C3" i="7"/>
  <c r="M52" i="7" l="1"/>
  <c r="AE52" i="7" l="1"/>
  <c r="AC56" i="5"/>
  <c r="AD56" i="5"/>
  <c r="AC64" i="5" l="1"/>
  <c r="AC65" i="5" s="1"/>
  <c r="AD64" i="5"/>
  <c r="AD65" i="5" s="1"/>
  <c r="G52" i="7" l="1"/>
  <c r="D52" i="7" l="1"/>
  <c r="X201" i="5" l="1"/>
  <c r="X203" i="5" s="1"/>
  <c r="X204" i="5" s="1"/>
  <c r="AF56" i="5" l="1"/>
  <c r="AF64" i="5" l="1"/>
  <c r="AF65" i="5" s="1"/>
  <c r="AG56" i="5"/>
  <c r="AG61" i="5" s="1"/>
  <c r="AG62" i="5" l="1"/>
  <c r="AG73" i="5"/>
  <c r="AG74" i="5" s="1"/>
  <c r="AG64" i="5"/>
  <c r="AG65" i="5" s="1"/>
  <c r="AK62" i="5" l="1"/>
  <c r="AI62" i="5"/>
  <c r="AJ56" i="5"/>
  <c r="AJ61" i="5" l="1"/>
  <c r="AJ64" i="5"/>
  <c r="AJ65" i="5" s="1"/>
  <c r="AI64" i="5"/>
  <c r="AI65" i="5" s="1"/>
  <c r="AJ62" i="5" l="1"/>
  <c r="AJ73" i="5"/>
  <c r="AJ74" i="5" s="1"/>
  <c r="AO56" i="5"/>
  <c r="AO62" i="5"/>
  <c r="AR121" i="5"/>
  <c r="AO64" i="5" l="1"/>
  <c r="AO65" i="5" s="1"/>
  <c r="AP56" i="5"/>
  <c r="AP64" i="5" l="1"/>
  <c r="AP65" i="5" s="1"/>
  <c r="AP61" i="5"/>
  <c r="AP62" i="5" l="1"/>
  <c r="AP73" i="5"/>
  <c r="AP74" i="5" s="1"/>
  <c r="AT19" i="5"/>
  <c r="AR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tc={0AE935EE-65C5-480F-953D-13824F88F563}</author>
    <author>tc={D63EF20A-A71A-450A-8316-997E32FB480F}</author>
    <author>Chalkly, Charles</author>
    <author>Davies, Clare - PLC</author>
  </authors>
  <commentList>
    <comment ref="AQ55" authorId="0" shapeId="0" xr:uid="{0AE935EE-65C5-480F-953D-13824F88F563}">
      <text>
        <t>[Threaded comment]
Your version of Excel allows you to read this threaded comment; however, any edits to it will get removed if the file is opened in a newer version of Excel. Learn more: https://go.microsoft.com/fwlink/?linkid=870924
Comment:
    Loss on closure of Russian business = £4.2 million</t>
      </text>
    </comment>
    <comment ref="AT55" authorId="1" shapeId="0" xr:uid="{D63EF20A-A71A-450A-8316-997E32FB480F}">
      <text>
        <t>[Threaded comment]
Your version of Excel allows you to read this threaded comment; however, any edits to it will get removed if the file is opened in a newer version of Excel. Learn more: https://go.microsoft.com/fwlink/?linkid=870924
Comment:
    Loss on closure of Russian business = £4.2 million</t>
      </text>
    </comment>
    <comment ref="B59" authorId="2" shapeId="0" xr:uid="{5EA9A9F4-D7C9-498B-AEE5-558673AACC24}">
      <text>
        <r>
          <rPr>
            <b/>
            <sz val="9"/>
            <color indexed="81"/>
            <rFont val="Tahoma"/>
            <family val="2"/>
          </rPr>
          <t>Introduced in July 2019</t>
        </r>
      </text>
    </comment>
    <comment ref="AK59" authorId="2" shapeId="0" xr:uid="{C888D4B4-1E7B-400E-9455-1E46D205ABF6}">
      <text>
        <r>
          <rPr>
            <sz val="9"/>
            <color indexed="81"/>
            <rFont val="Tahoma"/>
            <family val="2"/>
          </rPr>
          <t>IFRS 16 Leases became effective for the Group on 1 July 2019, and the Group is reporting under this new standard for the first time. The Group has applied the modified retrospective approach whereby the right-of-use asset at the date of initial application was measured at an amount equal to the lease liability, with no restatement to prior years. On adoption, the Group’s right-of-use assets increased by £238.1 million, net of £7.7 million IAS 17 adjustments, while lease liabilities increased by £245.8 million. Operating lease rental charges for leases accounted for under IFRS 16, which are almost entirely property-related, were replaced by a £45.5m depreciation charge and £5.3m lease interest charge.
Adopting IFRS 16 resulted in a decrease in the Group profit before tax in FY20 of £3.4m, i.e. not material to overall Group profit levels, and had no impact on cash. This comprised a benefit to Group operating profit of £1.9m, offset at the profit before tax level by £5.3m of non-cash lease liabilities interest charge, discussed further
below.</t>
        </r>
      </text>
    </comment>
    <comment ref="AK71" authorId="2" shapeId="0" xr:uid="{34E9FE4F-6C9A-4844-801D-89AC94269C57}">
      <text>
        <r>
          <rPr>
            <sz val="9"/>
            <color indexed="81"/>
            <rFont val="Tahoma"/>
            <family val="2"/>
          </rPr>
          <t xml:space="preserve">During the year, the Group incurred an exceptional charge of £39.9 million (2019: £15.1 million) in relation to the following items:
- £19.6 million of restructuring, including £12.6m in Germany as the Group restructured its operations to focus more on mid-sized enterprises while creating a specific large Corporate Accounts division. The remaining £7.0m resulted from the restructuring of several other countries’ operations following the immediate reduction in demand for recruitment services due to Covid-19. We anticipate annualised cost savings of c.£15m, c.£2m of which were realised in FY20. The cash impact from the restructuring exceptional charge as at the balance sheet date was £8.1m, with a further £11.5m cash outflow expected during FY21.
- Following annual goodwill impairment reviews, we have written down the carrying value of Goodwill by £20.3 million, relating to our US business. The US had been performing in line with expectations up until the Covid-19 pandemic but as disclosed in previous years, had limited headroom on the carrying value of goodwill. Because of the difficult market backdrop and our continued strategy to invest in our US business to accelerate its growth, Management have revised the cash flow forecast for the US business and as a result recognised an exceptional impairment loss against goodwill of £20.3 million.
</t>
        </r>
      </text>
    </comment>
    <comment ref="U93" authorId="3" shapeId="0" xr:uid="{DC1A0991-39B8-4FA9-8F02-05AE939BAFA6}">
      <text>
        <r>
          <rPr>
            <b/>
            <sz val="9"/>
            <color indexed="81"/>
            <rFont val="Tahoma"/>
            <family val="2"/>
          </rPr>
          <t>Roundings sum of the regions =82.7</t>
        </r>
      </text>
    </comment>
    <comment ref="AH110" authorId="2" shapeId="0" xr:uid="{8ECAD155-5D4E-4EF6-94EB-AAE1EF549A4C}">
      <text>
        <r>
          <rPr>
            <sz val="9"/>
            <color indexed="81"/>
            <rFont val="Tahoma"/>
            <family val="2"/>
          </rPr>
          <t>During the year, the Group incurred an exceptional charge of £15.1m in relation to the following items:
- £8.3m recognised in respect of the equalisation of GMP (Guaranteed Minimum Pensions), for men and women in UK defined benefit schemes, which represent 1.17% of the Scheme’s liabilities. This charge follows the landmark legal judgment against Lloyds Banking Group in October 2018 and is a non-cash item
- Non-recurring restructuring cost of £6.8m which principally relates to our European businesses. This is expected to generate a c.£5m per annum cost saving, of which £2m was achieved in FY19 with a further c.£3m benefit expected in FY20</t>
        </r>
      </text>
    </comment>
    <comment ref="AK110" authorId="2" shapeId="0" xr:uid="{D1E496CB-E16C-4482-BC09-C87E9654ADB0}">
      <text>
        <r>
          <rPr>
            <sz val="9"/>
            <color indexed="81"/>
            <rFont val="Tahoma"/>
            <family val="2"/>
          </rPr>
          <t xml:space="preserve">During the year, the Group incurred an exceptional charge of £39.9 million (2019: £15.1 million) in relation to the following items:
- £19.6 million of restructuring, including £12.6m in Germany as the Group restructured its operations to focus more on mid-sized enterprises while creating a specific large Corporate Accounts division. The remaining £7.0m resulted from the restructuring of several other countries’ operations following the immediate reduction in demand for recruitment services due to Covid-19. We anticipate annualised cost savings of c.£15m, c.£2m of which were realised in FY20. The cash impact from the restructuring exceptional charge as at the balance sheet date was £8.1m, with a further £11.5m cash outflow expected during FY21.
- Following annual goodwill impairment reviews, we have written down the carrying value of Goodwill by £20.3 million, relating to our US business. The US had been performing in line with expectations up until the Covid-19 pandemic but as disclosed in previous years, had limited headroom on the carrying value of goodwill. Because of the difficult market backdrop and our continued strategy to invest in our US business to accelerate its growth, Management have revised the cash flow forecast for the US business and as a result recognised an exceptional impairment loss against goodwill of £20.3 million.
</t>
        </r>
      </text>
    </comment>
    <comment ref="B115" authorId="2" shapeId="0" xr:uid="{34D0F675-B9B6-44BA-839C-EC00143EEDF5}">
      <text>
        <r>
          <rPr>
            <b/>
            <sz val="9"/>
            <color indexed="81"/>
            <rFont val="Tahoma"/>
            <family val="2"/>
          </rPr>
          <t>Introduced in July 2019</t>
        </r>
      </text>
    </comment>
    <comment ref="B156" authorId="2" shapeId="0" xr:uid="{DF1C6C84-CC0C-4575-AC79-735136C02C05}">
      <text>
        <r>
          <rPr>
            <b/>
            <sz val="9"/>
            <color indexed="81"/>
            <rFont val="Tahoma"/>
            <family val="2"/>
          </rPr>
          <t>Introduced in 2019</t>
        </r>
        <r>
          <rPr>
            <sz val="9"/>
            <color indexed="81"/>
            <rFont val="Tahoma"/>
            <family val="2"/>
          </rPr>
          <t xml:space="preserve">
</t>
        </r>
      </text>
    </comment>
    <comment ref="B183" authorId="2" shapeId="0" xr:uid="{303E8EA3-5817-4AE0-9107-0110BDE93AF9}">
      <text>
        <r>
          <rPr>
            <b/>
            <sz val="9"/>
            <color indexed="81"/>
            <rFont val="Tahoma"/>
            <family val="2"/>
          </rPr>
          <t>Introduced in 2019</t>
        </r>
      </text>
    </comment>
    <comment ref="B212" authorId="2" shapeId="0" xr:uid="{6A785BF4-056D-4187-B664-F782792AA48D}">
      <text>
        <r>
          <rPr>
            <b/>
            <sz val="9"/>
            <color indexed="81"/>
            <rFont val="Tahoma"/>
            <family val="2"/>
          </rPr>
          <t>Introduced in 2019</t>
        </r>
      </text>
    </comment>
    <comment ref="B238" authorId="2" shapeId="0" xr:uid="{7C2B8F07-E7C2-4E37-BD99-54DA6AD60F98}">
      <text>
        <r>
          <rPr>
            <b/>
            <sz val="9"/>
            <color indexed="81"/>
            <rFont val="Tahoma"/>
            <family val="2"/>
          </rPr>
          <t>Introduced in 2019</t>
        </r>
      </text>
    </comment>
    <comment ref="V259" authorId="3" shapeId="0" xr:uid="{191C4159-5DDC-4F9C-A04B-BC9F5DDBD4A5}">
      <text>
        <r>
          <rPr>
            <b/>
            <sz val="9"/>
            <color indexed="81"/>
            <rFont val="Tahoma"/>
            <family val="2"/>
          </rPr>
          <t>5,821 excluding Veredus 
5,969 including Veredus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Chalkly, Charles</author>
  </authors>
  <commentList>
    <comment ref="L5" authorId="0" shapeId="0" xr:uid="{0165637C-2A7A-42FB-AAFA-FE7A1DF2398F}">
      <text>
        <r>
          <rPr>
            <sz val="9"/>
            <color indexed="81"/>
            <rFont val="Tahoma"/>
            <family val="2"/>
          </rPr>
          <t>Immaterial before Q3 16. Tends to be related to Easter and working days in Germany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Davies, Clare - PLC</author>
  </authors>
  <commentList>
    <comment ref="B25" authorId="0" shapeId="0" xr:uid="{C051433F-581E-46F9-BDD2-01BBEC196CB3}">
      <text>
        <r>
          <rPr>
            <sz val="9"/>
            <color indexed="81"/>
            <rFont val="Tahoma"/>
            <family val="2"/>
          </rPr>
          <t>Slides balanced portfolio</t>
        </r>
      </text>
    </comment>
    <comment ref="B59" authorId="0" shapeId="0" xr:uid="{468E10B8-26E7-4274-84C4-486EE27A7D81}">
      <text>
        <r>
          <rPr>
            <sz val="9"/>
            <color indexed="81"/>
            <rFont val="Tahoma"/>
            <family val="2"/>
          </rPr>
          <t>Slides balanced portfolio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Davies, Clare - PLC</author>
  </authors>
  <commentList>
    <comment ref="A13" authorId="0" shapeId="0" xr:uid="{0F13257A-FA86-4CBE-9B61-5291BCCB373A}">
      <text>
        <r>
          <rPr>
            <b/>
            <sz val="9"/>
            <color indexed="81"/>
            <rFont val="Tahoma"/>
            <family val="2"/>
          </rPr>
          <t>headline</t>
        </r>
      </text>
    </comment>
    <comment ref="A21" authorId="0" shapeId="0" xr:uid="{99024E1C-F5DA-420C-BE5F-BA6115908F23}">
      <text>
        <r>
          <rPr>
            <b/>
            <sz val="9"/>
            <color indexed="81"/>
            <rFont val="Tahoma"/>
            <family val="2"/>
          </rPr>
          <t>headline</t>
        </r>
      </text>
    </comment>
  </commentList>
</comments>
</file>

<file path=xl/sharedStrings.xml><?xml version="1.0" encoding="utf-8"?>
<sst xmlns="http://schemas.openxmlformats.org/spreadsheetml/2006/main" count="1793" uniqueCount="761">
  <si>
    <t>Adjustments for:</t>
  </si>
  <si>
    <t>Investing activities</t>
  </si>
  <si>
    <t>Financing activities</t>
  </si>
  <si>
    <t>-</t>
  </si>
  <si>
    <t>Non-current assets</t>
  </si>
  <si>
    <t>Goodwill</t>
  </si>
  <si>
    <t>Other intangible assets</t>
  </si>
  <si>
    <t>Property, plant and equipment</t>
  </si>
  <si>
    <t>Deferred tax assets</t>
  </si>
  <si>
    <t>Current assets</t>
  </si>
  <si>
    <t>Trade and other receivables</t>
  </si>
  <si>
    <t>Cash and cash equivalents</t>
  </si>
  <si>
    <t>Derivative financial instruments</t>
  </si>
  <si>
    <t>Total assets</t>
  </si>
  <si>
    <t>Current liabilities</t>
  </si>
  <si>
    <t>Trade and other payables</t>
  </si>
  <si>
    <t>Current tax liabilities</t>
  </si>
  <si>
    <t>Bank loans and overdrafts</t>
  </si>
  <si>
    <t>Acquisition liabilities</t>
  </si>
  <si>
    <t>Provisions</t>
  </si>
  <si>
    <t>Non-current liabilities</t>
  </si>
  <si>
    <t>Bank loans</t>
  </si>
  <si>
    <t>Retirement benefit obligations</t>
  </si>
  <si>
    <t>Total liabilities</t>
  </si>
  <si>
    <t>Net assets</t>
  </si>
  <si>
    <t xml:space="preserve">Equity               </t>
  </si>
  <si>
    <t>Called up share capital</t>
  </si>
  <si>
    <t>Share premium</t>
  </si>
  <si>
    <t>Capital redemption reserve</t>
  </si>
  <si>
    <t>Retained earnings</t>
  </si>
  <si>
    <t>Cumulative translation reserve</t>
  </si>
  <si>
    <t>Equity reserve</t>
  </si>
  <si>
    <t>Total equity</t>
  </si>
  <si>
    <t>FY17</t>
  </si>
  <si>
    <t>FY16</t>
  </si>
  <si>
    <t>FY15</t>
  </si>
  <si>
    <t>FY14</t>
  </si>
  <si>
    <t>FY13</t>
  </si>
  <si>
    <t>FY12</t>
  </si>
  <si>
    <t>FY11</t>
  </si>
  <si>
    <t>FY10</t>
  </si>
  <si>
    <t>FY09</t>
  </si>
  <si>
    <t>CHECK</t>
  </si>
  <si>
    <t>H1 10</t>
  </si>
  <si>
    <t>H2 10</t>
  </si>
  <si>
    <t>H1 11</t>
  </si>
  <si>
    <t>H2 11</t>
  </si>
  <si>
    <t>H1 12</t>
  </si>
  <si>
    <t>H2 12</t>
  </si>
  <si>
    <t>H1 13</t>
  </si>
  <si>
    <t>H2 13</t>
  </si>
  <si>
    <t>H1 14</t>
  </si>
  <si>
    <t>H2 14</t>
  </si>
  <si>
    <t>H1 15</t>
  </si>
  <si>
    <t>H2 15</t>
  </si>
  <si>
    <t>H1 16</t>
  </si>
  <si>
    <t>H2 16</t>
  </si>
  <si>
    <t>H1 17</t>
  </si>
  <si>
    <t>H2 17</t>
  </si>
  <si>
    <t>Operating profit from continuing operations</t>
  </si>
  <si>
    <t>Depreciation of property, plant and equipment</t>
  </si>
  <si>
    <t>Amortisation of intangible assets</t>
  </si>
  <si>
    <t xml:space="preserve">Net movements in provisions </t>
  </si>
  <si>
    <t>Share-based payments</t>
  </si>
  <si>
    <t>Operating cash flow before movement in working capital</t>
  </si>
  <si>
    <t>Cash generated by operations</t>
  </si>
  <si>
    <t>Pension scheme deficit funding</t>
  </si>
  <si>
    <t>Income taxes paid</t>
  </si>
  <si>
    <t>Net cash inflow from operating activities</t>
  </si>
  <si>
    <t>Purchase of property, plant and equipment</t>
  </si>
  <si>
    <t>Proceeds from sales of business assets</t>
  </si>
  <si>
    <t>Purchase of intangible assets</t>
  </si>
  <si>
    <t>Interest received</t>
  </si>
  <si>
    <t>Net cash used in investing activities</t>
  </si>
  <si>
    <t>Interest paid</t>
  </si>
  <si>
    <t xml:space="preserve">Equity dividends paid </t>
  </si>
  <si>
    <t>Proceeds from exercise of share options</t>
  </si>
  <si>
    <t>Net cash used in financing activities</t>
  </si>
  <si>
    <t>Net increase/(decrease) in cash and cash equivalents</t>
  </si>
  <si>
    <t>Effect of foreign exchange rate movements</t>
  </si>
  <si>
    <t>Cash and cash equivalents at end of year</t>
  </si>
  <si>
    <t>(In £s million)</t>
  </si>
  <si>
    <t>Acquisition of subsidiaries</t>
  </si>
  <si>
    <t>Cash paid in respect of acquisitions made in previous years</t>
  </si>
  <si>
    <t>Purchase of own shares</t>
  </si>
  <si>
    <t>Repayment of loan notes</t>
  </si>
  <si>
    <t>Pension scheme funding</t>
  </si>
  <si>
    <t>(Decrease) / Increase in bank loans and overdrafts</t>
  </si>
  <si>
    <t>Cash outflow in respect of share buy-back</t>
  </si>
  <si>
    <t>Proceeds from sale of own shares</t>
  </si>
  <si>
    <t>H1 09</t>
  </si>
  <si>
    <t>H2 09</t>
  </si>
  <si>
    <t>H1 18</t>
  </si>
  <si>
    <t>H2 18</t>
  </si>
  <si>
    <t>FY18</t>
  </si>
  <si>
    <t>H1 19</t>
  </si>
  <si>
    <t>CASH FLOW STATEMENT</t>
  </si>
  <si>
    <t>INCOME STATEMENT</t>
  </si>
  <si>
    <t>Year-end:</t>
  </si>
  <si>
    <t>June</t>
  </si>
  <si>
    <t>Ticker:</t>
  </si>
  <si>
    <t>HAS-LN</t>
  </si>
  <si>
    <t>Balance:</t>
  </si>
  <si>
    <t>OK</t>
  </si>
  <si>
    <t>Version:</t>
  </si>
  <si>
    <t>Turnover</t>
  </si>
  <si>
    <t>Remuneration of temporary workers</t>
  </si>
  <si>
    <t>Remuneration of other recruitment agencies</t>
  </si>
  <si>
    <t>Net fees by region</t>
  </si>
  <si>
    <t>Growth %</t>
  </si>
  <si>
    <t>o/w organic</t>
  </si>
  <si>
    <t>o/w FX</t>
  </si>
  <si>
    <t>Germany</t>
  </si>
  <si>
    <t>UK &amp; Ireland</t>
  </si>
  <si>
    <t>Rest of World</t>
  </si>
  <si>
    <t>Total net fees</t>
  </si>
  <si>
    <t>Net fees by contract type</t>
  </si>
  <si>
    <t>Temporary</t>
  </si>
  <si>
    <t>Permanent</t>
  </si>
  <si>
    <t>Costs</t>
  </si>
  <si>
    <t>Staff costs</t>
  </si>
  <si>
    <t>Operating lease rentals</t>
  </si>
  <si>
    <t>Impairment loss on trade receivables</t>
  </si>
  <si>
    <t>Auditor's remuneration</t>
  </si>
  <si>
    <t>Other external charges</t>
  </si>
  <si>
    <t>Amortisation</t>
  </si>
  <si>
    <t>Operating Costs</t>
  </si>
  <si>
    <t>Operating profit by region</t>
  </si>
  <si>
    <t>Group Operating Profit</t>
  </si>
  <si>
    <t>Group conversion rate</t>
  </si>
  <si>
    <t>Net finance charge</t>
  </si>
  <si>
    <t>Profit before tax</t>
  </si>
  <si>
    <t>Earnings per share from continuing operations</t>
  </si>
  <si>
    <t>- Basic</t>
  </si>
  <si>
    <t>- Diluted</t>
  </si>
  <si>
    <t>Core dividend per share</t>
  </si>
  <si>
    <t>Shares in issue (million)</t>
  </si>
  <si>
    <t>ANZ</t>
  </si>
  <si>
    <t>UK&amp;I</t>
  </si>
  <si>
    <t>RoW</t>
  </si>
  <si>
    <t>H2 19</t>
  </si>
  <si>
    <t>FY19</t>
  </si>
  <si>
    <t>H1 20</t>
  </si>
  <si>
    <t>H2 20</t>
  </si>
  <si>
    <t>FY20</t>
  </si>
  <si>
    <t>H1 21</t>
  </si>
  <si>
    <t>H2 21</t>
  </si>
  <si>
    <t>FY21</t>
  </si>
  <si>
    <t>H1 22</t>
  </si>
  <si>
    <t>H2 22</t>
  </si>
  <si>
    <t>FY22</t>
  </si>
  <si>
    <t>BALANCE SHEET</t>
  </si>
  <si>
    <t>2018/19</t>
  </si>
  <si>
    <t>Physical Offices</t>
  </si>
  <si>
    <t>UK</t>
  </si>
  <si>
    <t>Aberdeen</t>
  </si>
  <si>
    <t>Altrincham</t>
  </si>
  <si>
    <t>Aylesbury</t>
  </si>
  <si>
    <t>Basingstoke - Renaissance</t>
  </si>
  <si>
    <t>Bath</t>
  </si>
  <si>
    <t>Belfast</t>
  </si>
  <si>
    <t>Birmingham - Colmore Square</t>
  </si>
  <si>
    <t>Bishops Stortford</t>
  </si>
  <si>
    <t>Bournemouth</t>
  </si>
  <si>
    <t>Bradford (Wool Exchange)</t>
  </si>
  <si>
    <t>Brighton</t>
  </si>
  <si>
    <t>Bristol (Hartwell Hse)</t>
  </si>
  <si>
    <t>Bromley</t>
  </si>
  <si>
    <t>Burnley</t>
  </si>
  <si>
    <t>Bury St Edmunds</t>
  </si>
  <si>
    <t xml:space="preserve">Cambridge </t>
  </si>
  <si>
    <t>Canterbury</t>
  </si>
  <si>
    <t>Cardiff</t>
  </si>
  <si>
    <t>Carlisle (Englishgate)</t>
  </si>
  <si>
    <t>Chelmsford-Summit House</t>
  </si>
  <si>
    <t>Cheltenham</t>
  </si>
  <si>
    <t>Chester</t>
  </si>
  <si>
    <t>Chesterfield</t>
  </si>
  <si>
    <t>Colchester</t>
  </si>
  <si>
    <t xml:space="preserve">Coventry </t>
  </si>
  <si>
    <t>Crawley</t>
  </si>
  <si>
    <t xml:space="preserve">Croydon </t>
  </si>
  <si>
    <t xml:space="preserve">Relocation </t>
  </si>
  <si>
    <t>Darlington (Houndgate)</t>
  </si>
  <si>
    <t>Derby (St Peter's St)</t>
  </si>
  <si>
    <t>Derry</t>
  </si>
  <si>
    <t>Doncaster</t>
  </si>
  <si>
    <t>Dundee</t>
  </si>
  <si>
    <t>Edinburgh</t>
  </si>
  <si>
    <t>Enfield</t>
  </si>
  <si>
    <t>Exeter (Southernhay East)</t>
  </si>
  <si>
    <t>Glasgow (55 Blythswood street )</t>
  </si>
  <si>
    <t>Grimsby</t>
  </si>
  <si>
    <t>Guildford</t>
  </si>
  <si>
    <t>Hammersmith</t>
  </si>
  <si>
    <t xml:space="preserve">Heathrow </t>
  </si>
  <si>
    <t>High Wycombe</t>
  </si>
  <si>
    <t>Huddersfield</t>
  </si>
  <si>
    <t>Hull (Paragon St)</t>
  </si>
  <si>
    <t>Ilford</t>
  </si>
  <si>
    <t>Inverness</t>
  </si>
  <si>
    <t>Ipswich (Fraser Hse)</t>
  </si>
  <si>
    <t>Kings Lynn</t>
  </si>
  <si>
    <t>Kingston (High St)</t>
  </si>
  <si>
    <t>Lancaster</t>
  </si>
  <si>
    <t>Leeds (Sovereign Hse) HSE</t>
  </si>
  <si>
    <t>Leicester (Colton Square)</t>
  </si>
  <si>
    <t>Lincoln</t>
  </si>
  <si>
    <t>Liverpool (St Paul's)</t>
  </si>
  <si>
    <t>Liverpool</t>
  </si>
  <si>
    <t>London (Cheapside)</t>
  </si>
  <si>
    <t>London (Victoria Ebury Gate)</t>
  </si>
  <si>
    <t>Luton Cresta House</t>
  </si>
  <si>
    <t>Maidstone</t>
  </si>
  <si>
    <t xml:space="preserve">Manchester </t>
  </si>
  <si>
    <t>Middlesborough</t>
  </si>
  <si>
    <t>Milton Keynes - 2 Exchange Square</t>
  </si>
  <si>
    <t>Newcastle (Mosley St)</t>
  </si>
  <si>
    <t>Northampton</t>
  </si>
  <si>
    <t>Norwich</t>
  </si>
  <si>
    <t>Nottingham</t>
  </si>
  <si>
    <t>Oldham (OBC)</t>
  </si>
  <si>
    <t>Oxford (High St)</t>
  </si>
  <si>
    <t>Peterborough (Britannic Hse)</t>
  </si>
  <si>
    <t>Plymouth</t>
  </si>
  <si>
    <t>Portadown</t>
  </si>
  <si>
    <t>Portsmouth</t>
  </si>
  <si>
    <t>Preston</t>
  </si>
  <si>
    <t>Reading</t>
  </si>
  <si>
    <t>Richmond</t>
  </si>
  <si>
    <t>Romford</t>
  </si>
  <si>
    <t>Sheffield (Tudor Square)</t>
  </si>
  <si>
    <t>Slough</t>
  </si>
  <si>
    <t>Southampton</t>
  </si>
  <si>
    <t>Southend</t>
  </si>
  <si>
    <t>Stoke-on-Trent</t>
  </si>
  <si>
    <t xml:space="preserve">Sunderland </t>
  </si>
  <si>
    <t>Swansea (Quay West)</t>
  </si>
  <si>
    <t>Swindon</t>
  </si>
  <si>
    <t>Taunton</t>
  </si>
  <si>
    <t>Telford</t>
  </si>
  <si>
    <t>Truro</t>
  </si>
  <si>
    <t>Wakefield</t>
  </si>
  <si>
    <t>Warrington</t>
  </si>
  <si>
    <t>Watford</t>
  </si>
  <si>
    <t>Wigan</t>
  </si>
  <si>
    <t>Wolverhampton</t>
  </si>
  <si>
    <t>Worcester</t>
  </si>
  <si>
    <t>York</t>
  </si>
  <si>
    <t>IRELAND</t>
  </si>
  <si>
    <t>Dublin (Grafton St)</t>
  </si>
  <si>
    <t>Cork (54 South Mall)</t>
  </si>
  <si>
    <t>Limerick</t>
  </si>
  <si>
    <t>Galway</t>
  </si>
  <si>
    <t>AUSTRALIA &amp; NZ</t>
  </si>
  <si>
    <t>Adelaide</t>
  </si>
  <si>
    <t>Auckland</t>
  </si>
  <si>
    <t>Auckland HTS</t>
  </si>
  <si>
    <t>Ballarat</t>
  </si>
  <si>
    <t>Brisbane (Eagle St)</t>
  </si>
  <si>
    <t>Bunbury</t>
  </si>
  <si>
    <t>Burwood</t>
  </si>
  <si>
    <t>Cairns</t>
  </si>
  <si>
    <t>Camberwell (East Melbourne)</t>
  </si>
  <si>
    <t>Canberra</t>
  </si>
  <si>
    <t>Chatswood</t>
  </si>
  <si>
    <t>Chermside</t>
  </si>
  <si>
    <t>Christchurch</t>
  </si>
  <si>
    <t>Darwin</t>
  </si>
  <si>
    <t>Geelong</t>
  </si>
  <si>
    <t>Hobart</t>
  </si>
  <si>
    <t>Hurtsville</t>
  </si>
  <si>
    <t>Ipswich</t>
  </si>
  <si>
    <t>Launceston</t>
  </si>
  <si>
    <t>Mackay</t>
  </si>
  <si>
    <t>Maroochydore</t>
  </si>
  <si>
    <t>Melbourne (Collins St)</t>
  </si>
  <si>
    <t>Melbourne (St Kilda)</t>
  </si>
  <si>
    <t>Moonee Ponds</t>
  </si>
  <si>
    <t>Mt Gravatt</t>
  </si>
  <si>
    <t>Mt Isa</t>
  </si>
  <si>
    <t>Mulgrave</t>
  </si>
  <si>
    <t>Newcastle</t>
  </si>
  <si>
    <t>North Sydney</t>
  </si>
  <si>
    <t>Parramatta</t>
  </si>
  <si>
    <t>Perth (Hay Street)</t>
  </si>
  <si>
    <t>South Auckland</t>
  </si>
  <si>
    <t>Southport (Gold Coast)</t>
  </si>
  <si>
    <t>Sydney</t>
  </si>
  <si>
    <t>Sydney City South</t>
  </si>
  <si>
    <t>Toowoomba</t>
  </si>
  <si>
    <t>Townsville</t>
  </si>
  <si>
    <t>Wellington</t>
  </si>
  <si>
    <t>Wodonga</t>
  </si>
  <si>
    <t>Wollongong</t>
  </si>
  <si>
    <t>HONG KONG</t>
  </si>
  <si>
    <t>Hong Kong</t>
  </si>
  <si>
    <t>CHINA</t>
  </si>
  <si>
    <t>Shanghai</t>
  </si>
  <si>
    <t>Beijing</t>
  </si>
  <si>
    <t>Suzhou</t>
  </si>
  <si>
    <t>Guangzhou</t>
  </si>
  <si>
    <t>Shenzhen</t>
  </si>
  <si>
    <t>JAPAN</t>
  </si>
  <si>
    <t>Tokyo</t>
  </si>
  <si>
    <t>Osaka</t>
  </si>
  <si>
    <t>Yokohama</t>
  </si>
  <si>
    <t>SINGAPORE</t>
  </si>
  <si>
    <t>GERMANY</t>
  </si>
  <si>
    <t>Mannheim</t>
  </si>
  <si>
    <t>Düsseldorf</t>
  </si>
  <si>
    <t>Münich</t>
  </si>
  <si>
    <t>Berlin</t>
  </si>
  <si>
    <t>Essen</t>
  </si>
  <si>
    <t>Hamburg</t>
  </si>
  <si>
    <t>Stuttgart</t>
  </si>
  <si>
    <t>Frankfurt</t>
  </si>
  <si>
    <t>Frankfurt Airport</t>
  </si>
  <si>
    <t>Nürnberg</t>
  </si>
  <si>
    <t>Cologne</t>
  </si>
  <si>
    <t>Leipzig</t>
  </si>
  <si>
    <t>Ulm</t>
  </si>
  <si>
    <t>Hannover</t>
  </si>
  <si>
    <t>Dresden</t>
  </si>
  <si>
    <t>Bonn</t>
  </si>
  <si>
    <t>Dortmund</t>
  </si>
  <si>
    <t>Freiburg</t>
  </si>
  <si>
    <t>Ingolstadt</t>
  </si>
  <si>
    <t>Essen SC</t>
  </si>
  <si>
    <t>Augsburg</t>
  </si>
  <si>
    <t>Walldorf</t>
  </si>
  <si>
    <t>Wiesbaden</t>
  </si>
  <si>
    <t>Erfurt</t>
  </si>
  <si>
    <t>SWITZERLAND</t>
  </si>
  <si>
    <t>Zürich</t>
  </si>
  <si>
    <t>Basel</t>
  </si>
  <si>
    <t>Berne</t>
  </si>
  <si>
    <t>Geneva</t>
  </si>
  <si>
    <t>AUSTRIA</t>
  </si>
  <si>
    <t>Vienna (Wien)</t>
  </si>
  <si>
    <t>Graz</t>
  </si>
  <si>
    <t>NETHERLANDS</t>
  </si>
  <si>
    <t>Tilburg</t>
  </si>
  <si>
    <t>Amsterdam</t>
  </si>
  <si>
    <t>Utrecht</t>
  </si>
  <si>
    <t>BELGIUM</t>
  </si>
  <si>
    <t>Brussels</t>
  </si>
  <si>
    <t>Kortrijk</t>
  </si>
  <si>
    <t>Gent</t>
  </si>
  <si>
    <t>Brugge</t>
  </si>
  <si>
    <t>Zaventem</t>
  </si>
  <si>
    <t>Antwerpen</t>
  </si>
  <si>
    <t>Herentals</t>
  </si>
  <si>
    <t xml:space="preserve">Louvain-La-Neuve </t>
  </si>
  <si>
    <t>LUXEMBOURG</t>
  </si>
  <si>
    <t>FRANCE</t>
  </si>
  <si>
    <t>Paris (Haussmann)</t>
  </si>
  <si>
    <t>Aix en Provence</t>
  </si>
  <si>
    <t>Amiens</t>
  </si>
  <si>
    <t>Bordeaux</t>
  </si>
  <si>
    <t>Clermont-Ferrand</t>
  </si>
  <si>
    <t>Dijon</t>
  </si>
  <si>
    <t>Grenoble</t>
  </si>
  <si>
    <t>La Rochelle</t>
  </si>
  <si>
    <t>Lille</t>
  </si>
  <si>
    <t>Lyon</t>
  </si>
  <si>
    <t>Montpellier</t>
  </si>
  <si>
    <t>Nancy</t>
  </si>
  <si>
    <t>Nantes</t>
  </si>
  <si>
    <t>Nice</t>
  </si>
  <si>
    <t>Reims</t>
  </si>
  <si>
    <t>Rennes</t>
  </si>
  <si>
    <t>Rouen</t>
  </si>
  <si>
    <t>Strasbourg</t>
  </si>
  <si>
    <t>Toulouse</t>
  </si>
  <si>
    <t>Tours</t>
  </si>
  <si>
    <t>SPAIN</t>
  </si>
  <si>
    <t>Madrid</t>
  </si>
  <si>
    <t>Valencia</t>
  </si>
  <si>
    <t>Barcelona (Calle Valencia)</t>
  </si>
  <si>
    <t>Bilbao</t>
  </si>
  <si>
    <t>Sevilla</t>
  </si>
  <si>
    <t>PORTUGAL</t>
  </si>
  <si>
    <t>Oporto</t>
  </si>
  <si>
    <t>Lisbon</t>
  </si>
  <si>
    <t>ITALY</t>
  </si>
  <si>
    <t>Milan</t>
  </si>
  <si>
    <t>Rome</t>
  </si>
  <si>
    <t>Torino</t>
  </si>
  <si>
    <t>Bologna</t>
  </si>
  <si>
    <t>SWEDEN</t>
  </si>
  <si>
    <t>Stockholm</t>
  </si>
  <si>
    <t>Malmö</t>
  </si>
  <si>
    <t>DENMARK</t>
  </si>
  <si>
    <t>Copenhagen</t>
  </si>
  <si>
    <t>CZECH REPUBLIC</t>
  </si>
  <si>
    <t>Prague</t>
  </si>
  <si>
    <t>Brno</t>
  </si>
  <si>
    <t>HUNGARY</t>
  </si>
  <si>
    <t>Budapest</t>
  </si>
  <si>
    <t>POLAND</t>
  </si>
  <si>
    <t>Katowice</t>
  </si>
  <si>
    <t>Krakow</t>
  </si>
  <si>
    <t>Poznań</t>
  </si>
  <si>
    <t>Wroclaw</t>
  </si>
  <si>
    <t>Gdynia</t>
  </si>
  <si>
    <t>Warsaw</t>
  </si>
  <si>
    <t>CANADA</t>
  </si>
  <si>
    <t>Toronto, ON</t>
  </si>
  <si>
    <t>Mississauga, ON</t>
  </si>
  <si>
    <t>Ottawa, ON</t>
  </si>
  <si>
    <t>Winnipeg, MB</t>
  </si>
  <si>
    <t>Calgary, AB</t>
  </si>
  <si>
    <t>Edmonton, AB</t>
  </si>
  <si>
    <t>Vancouver, BC</t>
  </si>
  <si>
    <t>Montréal, QC</t>
  </si>
  <si>
    <t>U.A.E</t>
  </si>
  <si>
    <t>Dubai</t>
  </si>
  <si>
    <t>INDIA</t>
  </si>
  <si>
    <t>Mumbai</t>
  </si>
  <si>
    <t>RUSSIA</t>
  </si>
  <si>
    <t>Moscow</t>
  </si>
  <si>
    <t>St Petersburg</t>
  </si>
  <si>
    <t>BRAZIL</t>
  </si>
  <si>
    <t>São Paulo</t>
  </si>
  <si>
    <t>Rio de Janeiro</t>
  </si>
  <si>
    <t>Campinas</t>
  </si>
  <si>
    <t>MEXICO</t>
  </si>
  <si>
    <t>USA</t>
  </si>
  <si>
    <t>New York, NY</t>
  </si>
  <si>
    <t>Houston, TX</t>
  </si>
  <si>
    <t>Tampa - Veredua</t>
  </si>
  <si>
    <t>Raleigh - Veredus</t>
  </si>
  <si>
    <t>Orlando - Veredus</t>
  </si>
  <si>
    <t>Richmond - Veredus</t>
  </si>
  <si>
    <t>South Florida - Veredus</t>
  </si>
  <si>
    <t>Atlanta - Veredus</t>
  </si>
  <si>
    <t>WDC - Veredus</t>
  </si>
  <si>
    <t>Chicago - Veredus</t>
  </si>
  <si>
    <t>Dallas - Veredus</t>
  </si>
  <si>
    <t>Denver - Veredus</t>
  </si>
  <si>
    <t>Colombia</t>
  </si>
  <si>
    <t>Chile</t>
  </si>
  <si>
    <t>Kuala Lumpur</t>
  </si>
  <si>
    <t>Sunway</t>
  </si>
  <si>
    <t>Malayisa</t>
  </si>
  <si>
    <t>Romania</t>
  </si>
  <si>
    <t>Offices</t>
  </si>
  <si>
    <t>Location</t>
  </si>
  <si>
    <t>France</t>
  </si>
  <si>
    <t>Benelux</t>
  </si>
  <si>
    <t>China</t>
  </si>
  <si>
    <t>Canada</t>
  </si>
  <si>
    <t>Switzerland</t>
  </si>
  <si>
    <t>Japan</t>
  </si>
  <si>
    <t>Spain</t>
  </si>
  <si>
    <t>Poland</t>
  </si>
  <si>
    <t>Russia</t>
  </si>
  <si>
    <t>Italy</t>
  </si>
  <si>
    <t>Singapore</t>
  </si>
  <si>
    <t>RoW Other**</t>
  </si>
  <si>
    <t>Net fees LfL growth</t>
  </si>
  <si>
    <t>Rest of World Net fees</t>
  </si>
  <si>
    <t>Hays</t>
  </si>
  <si>
    <t>Australia &amp; New Zealand</t>
  </si>
  <si>
    <t>GROUP</t>
  </si>
  <si>
    <t>Group (working-day-adjusted)</t>
  </si>
  <si>
    <t>Temp</t>
  </si>
  <si>
    <t>Perm</t>
  </si>
  <si>
    <t>~ International LfL ~</t>
  </si>
  <si>
    <t>~ International share of Net Fees ~</t>
  </si>
  <si>
    <t>Net Fees</t>
  </si>
  <si>
    <r>
      <t xml:space="preserve">YoY </t>
    </r>
    <r>
      <rPr>
        <sz val="8.5"/>
        <color theme="0"/>
        <rFont val="Calibri"/>
        <family val="2"/>
      </rPr>
      <t>∆</t>
    </r>
    <r>
      <rPr>
        <sz val="8.5"/>
        <color theme="0"/>
        <rFont val="Arial"/>
        <family val="2"/>
      </rPr>
      <t xml:space="preserve"> in # of consultants</t>
    </r>
  </si>
  <si>
    <t>Australia &amp; NZ</t>
  </si>
  <si>
    <t>Q1</t>
  </si>
  <si>
    <t>Q2</t>
  </si>
  <si>
    <t>Q3</t>
  </si>
  <si>
    <t>Q4</t>
  </si>
  <si>
    <t>Q1 16</t>
  </si>
  <si>
    <t>Q2 16</t>
  </si>
  <si>
    <t>Q3 16</t>
  </si>
  <si>
    <t>Q4 16</t>
  </si>
  <si>
    <t>Q1 17</t>
  </si>
  <si>
    <t>Q2 17</t>
  </si>
  <si>
    <t>Q3 17</t>
  </si>
  <si>
    <t>Q4 17</t>
  </si>
  <si>
    <t>Q1 18</t>
  </si>
  <si>
    <t>Q2 18</t>
  </si>
  <si>
    <t>Q3 18</t>
  </si>
  <si>
    <t>Q4 18</t>
  </si>
  <si>
    <t>Q1 19</t>
  </si>
  <si>
    <t>Q2 19</t>
  </si>
  <si>
    <t>Q3 19</t>
  </si>
  <si>
    <t>Q4 19</t>
  </si>
  <si>
    <t>Net fees: UK&amp;I vs International by contract type</t>
  </si>
  <si>
    <t>International</t>
  </si>
  <si>
    <t>A&amp;F</t>
  </si>
  <si>
    <t>C&amp;P</t>
  </si>
  <si>
    <t>Engineering</t>
  </si>
  <si>
    <t>Office Support</t>
  </si>
  <si>
    <t>Banking</t>
  </si>
  <si>
    <t>Life Sciences</t>
  </si>
  <si>
    <t>Sales &amp; Marketing</t>
  </si>
  <si>
    <t>Other</t>
  </si>
  <si>
    <t>Net fees by focus</t>
  </si>
  <si>
    <t>Professional</t>
  </si>
  <si>
    <t>Technical</t>
  </si>
  <si>
    <t>Net fees by specialism</t>
  </si>
  <si>
    <t>By geography (£m)</t>
  </si>
  <si>
    <t>By geography (%)</t>
  </si>
  <si>
    <t>UK&amp;I vs International (%)</t>
  </si>
  <si>
    <t>By contract type (%)</t>
  </si>
  <si>
    <t>By specialism (%)</t>
  </si>
  <si>
    <t>By skill focus (%)</t>
  </si>
  <si>
    <t>Operating profit (£m)</t>
  </si>
  <si>
    <t>Operating profit (%)</t>
  </si>
  <si>
    <t>Breakdown of operating costs</t>
  </si>
  <si>
    <t>Conversion rates (%)</t>
  </si>
  <si>
    <t>FY Consultant Headcount</t>
  </si>
  <si>
    <t>HEADCOUNT</t>
  </si>
  <si>
    <t>Group Consultants</t>
  </si>
  <si>
    <t>Group Support/Non Fee-earners</t>
  </si>
  <si>
    <t>Group</t>
  </si>
  <si>
    <t>ANZ Consultants</t>
  </si>
  <si>
    <t>Germany Consultants</t>
  </si>
  <si>
    <t>UK&amp;I Consultants</t>
  </si>
  <si>
    <t>RoW Consultants</t>
  </si>
  <si>
    <t>HAYS' FY22 PLAN</t>
  </si>
  <si>
    <t>Retirement benefit surplus</t>
  </si>
  <si>
    <t>Deferred tax liabilities</t>
  </si>
  <si>
    <t>Movement in working capital</t>
  </si>
  <si>
    <t>Weighted avg. no of shares (Diluted)</t>
  </si>
  <si>
    <t>Weighted avg. no of shares (Basic)</t>
  </si>
  <si>
    <t>Special dividend per share</t>
  </si>
  <si>
    <t>Lower</t>
  </si>
  <si>
    <t>Mid</t>
  </si>
  <si>
    <t>Upper</t>
  </si>
  <si>
    <t>CHART</t>
  </si>
  <si>
    <t>LABELS</t>
  </si>
  <si>
    <t>Growth Rates</t>
  </si>
  <si>
    <t>Conversion rate</t>
  </si>
  <si>
    <t>SCENARIO BUILDER</t>
  </si>
  <si>
    <t>Operating Profit</t>
  </si>
  <si>
    <t>Growth rates</t>
  </si>
  <si>
    <t>Input CAGR</t>
  </si>
  <si>
    <t>Input conversion rate</t>
  </si>
  <si>
    <t>5-yr Group implied CAGR</t>
  </si>
  <si>
    <t>FY22 implied CR</t>
  </si>
  <si>
    <t>17</t>
  </si>
  <si>
    <t>FY</t>
  </si>
  <si>
    <t>22</t>
  </si>
  <si>
    <t>Special dividend</t>
  </si>
  <si>
    <t>Distribution</t>
  </si>
  <si>
    <t>Core dividend</t>
  </si>
  <si>
    <t>Dividends Paid</t>
  </si>
  <si>
    <t xml:space="preserve"> </t>
  </si>
  <si>
    <t>Since FY22</t>
  </si>
  <si>
    <t>Plan Launched</t>
  </si>
  <si>
    <t>Since FY22 Plan launched</t>
  </si>
  <si>
    <t>Total dividend per share</t>
  </si>
  <si>
    <t>Headline Growth %</t>
  </si>
  <si>
    <t>candidate-driven</t>
  </si>
  <si>
    <t>client-driven</t>
  </si>
  <si>
    <t>Own shares</t>
  </si>
  <si>
    <t>Hedging reserve</t>
  </si>
  <si>
    <t>Net fees label</t>
  </si>
  <si>
    <t>Exceptionals &amp; operating profit from discontinued operations</t>
  </si>
  <si>
    <t>Exceptional items</t>
  </si>
  <si>
    <t>Earnings per share from continuing operations (post-exceptionals)</t>
  </si>
  <si>
    <t>- Basic EPS</t>
  </si>
  <si>
    <t>- Diluted EPS</t>
  </si>
  <si>
    <t>Per share exceptional items - Basic</t>
  </si>
  <si>
    <t>Per share exceptional items - Diluted</t>
  </si>
  <si>
    <t>Profit before tax (pre-exceptional items)</t>
  </si>
  <si>
    <t>~ o/w exceptional</t>
  </si>
  <si>
    <t>Tax</t>
  </si>
  <si>
    <t>Tax (pre-exceptional items)</t>
  </si>
  <si>
    <t>Exceptional tax items</t>
  </si>
  <si>
    <t>Profit after tax</t>
  </si>
  <si>
    <t>Q1 20</t>
  </si>
  <si>
    <t xml:space="preserve">Acquisition liabilities </t>
  </si>
  <si>
    <t>REMEMBER TO INCLUDE NOTE c.£15 MILLION OF RoW OVERHEAD COSTS</t>
  </si>
  <si>
    <t>D &amp; A</t>
  </si>
  <si>
    <t>Cash and cash equivalents at beginning of year OR period</t>
  </si>
  <si>
    <t>Bank loans and overdrafts at beginning of year OR period</t>
  </si>
  <si>
    <t>Net fees (Working-day-adjusted)</t>
  </si>
  <si>
    <t>Quarter</t>
  </si>
  <si>
    <t>Net fees</t>
  </si>
  <si>
    <t>End-of-quarter</t>
  </si>
  <si>
    <t xml:space="preserve">  UK&amp;I Temp</t>
  </si>
  <si>
    <t xml:space="preserve">  UK&amp;I Perm</t>
  </si>
  <si>
    <t xml:space="preserve">  Germany Temp</t>
  </si>
  <si>
    <t xml:space="preserve">  Germany Perm</t>
  </si>
  <si>
    <t>Profit after tax (pre-exceptional items)</t>
  </si>
  <si>
    <t>Profit from discontinued operations after tax</t>
  </si>
  <si>
    <t>Depreciation of right-of-use lease assets</t>
  </si>
  <si>
    <t>Lease liability principal repayment</t>
  </si>
  <si>
    <t>Right-of-use assets</t>
  </si>
  <si>
    <t>Lease liabilities</t>
  </si>
  <si>
    <t>Net fees by division</t>
  </si>
  <si>
    <t>Conversion rate by division (pre exceptional)</t>
  </si>
  <si>
    <t>Operating profit by division (pre exceptional)</t>
  </si>
  <si>
    <t>NET FEES' SUMMARY</t>
  </si>
  <si>
    <t>Q2 20</t>
  </si>
  <si>
    <t>BREAKDOWN OF NET FEES</t>
  </si>
  <si>
    <t>Term</t>
  </si>
  <si>
    <t>Definition</t>
  </si>
  <si>
    <t>GLOSSARY</t>
  </si>
  <si>
    <t>Proportion of our net fees which is converted into operating profit</t>
  </si>
  <si>
    <t>Free cash flow</t>
  </si>
  <si>
    <t>Cash generated by operations less tax paid and net interest paid</t>
  </si>
  <si>
    <t>Relating to our non-UK&amp;I business</t>
  </si>
  <si>
    <t>Year-on-year growth of net fees or profits of Hays' continuing operations, at constant currency</t>
  </si>
  <si>
    <t>Represents turnover less the remuneration costs of temporary workers for temporary assignments and remuneration of other recruitment agencies. For the placement of permanent candidates, net fees are equal to turnover</t>
  </si>
  <si>
    <t>Candidate placed with a client in a permanent role</t>
  </si>
  <si>
    <t>Perm gross margin</t>
  </si>
  <si>
    <t>Profit drop-through</t>
  </si>
  <si>
    <t>The additional like-for-like profit which flows to our bottom line from incremental like-for-like net fees in a particular period. Expressed as a percentage</t>
  </si>
  <si>
    <t>Specialism</t>
  </si>
  <si>
    <t>20 broad areas, usually grouped by industry, in which we are experts, e.g. Construction &amp; Property, Accountancy &amp; Finance</t>
  </si>
  <si>
    <t>Worker engaged on a short-term basis to fill a skills gap for a pre-agreed period of time</t>
  </si>
  <si>
    <t>Underlying Temp gross margin</t>
  </si>
  <si>
    <t>Temp net fees divided by Temp gross revenue. Relates solely to Temp placements where we generate net fees, and specifically excludes: transactions where we act as agent for woekers supplied by third-party agencies; arrangements relating to major payrolling services. Usually expressed as a percentage</t>
  </si>
  <si>
    <t>Fair value of the consideration received or receivable at the point in time and represents amounts receivable for services provided in the normal course of business, net of discounts, VAT and other sales-related taxes</t>
  </si>
  <si>
    <t>Q3 20</t>
  </si>
  <si>
    <t>Q4 20</t>
  </si>
  <si>
    <t xml:space="preserve">  ANZ Temp</t>
  </si>
  <si>
    <t xml:space="preserve">  ANZ Perm</t>
  </si>
  <si>
    <t>HEADCOUNT (End of period)</t>
  </si>
  <si>
    <t>Increase / (decrease) in payables</t>
  </si>
  <si>
    <t>Decrease / (increase) in receivables</t>
  </si>
  <si>
    <t>BREAKDOWN OF OPERATING COSTS (incl. D&amp;A)</t>
  </si>
  <si>
    <t>BREAKDOWN OF OPERATING PROFIT</t>
  </si>
  <si>
    <t>Depreciation of right-of-use assets</t>
  </si>
  <si>
    <t>Depreciation of fixed assets</t>
  </si>
  <si>
    <t>~ o/w non-cash interest on IFRS 16 lease liabilities</t>
  </si>
  <si>
    <t>~ o/w non-cash (pension-related)</t>
  </si>
  <si>
    <t>Headings for chart tab</t>
  </si>
  <si>
    <t>COUNTRY LIST</t>
  </si>
  <si>
    <t>Australia</t>
  </si>
  <si>
    <t>New Zealand</t>
  </si>
  <si>
    <t>Ireland</t>
  </si>
  <si>
    <t>Austria</t>
  </si>
  <si>
    <t>Belgium</t>
  </si>
  <si>
    <t>Czech Republic</t>
  </si>
  <si>
    <t>Denmark</t>
  </si>
  <si>
    <t>Hungary</t>
  </si>
  <si>
    <t>Luxembourg</t>
  </si>
  <si>
    <t>The Netherlands</t>
  </si>
  <si>
    <t>Portugal</t>
  </si>
  <si>
    <t>Sweden</t>
  </si>
  <si>
    <t>UAE</t>
  </si>
  <si>
    <t>Brazil</t>
  </si>
  <si>
    <t>Mexico</t>
  </si>
  <si>
    <t>India</t>
  </si>
  <si>
    <t>Malaysia</t>
  </si>
  <si>
    <t>Europe</t>
  </si>
  <si>
    <t>Americas</t>
  </si>
  <si>
    <t>Asia</t>
  </si>
  <si>
    <t>Impairment loss on goodwill</t>
  </si>
  <si>
    <t>Cash paid in respect of exceptional items from current and prior year</t>
  </si>
  <si>
    <t>Proceeds from issue of new shares net of transaction costs</t>
  </si>
  <si>
    <t>Corporation tax debtor</t>
  </si>
  <si>
    <t>Merger reserve</t>
  </si>
  <si>
    <t>SPECIALISM LIST</t>
  </si>
  <si>
    <t>Accountancy &amp; Finance</t>
  </si>
  <si>
    <t>Executive</t>
  </si>
  <si>
    <t>Construction &amp; Property</t>
  </si>
  <si>
    <t>Financial Services</t>
  </si>
  <si>
    <t>Information Technology</t>
  </si>
  <si>
    <t>Health &amp; Social Care</t>
  </si>
  <si>
    <t>Human Resources</t>
  </si>
  <si>
    <t>Legal</t>
  </si>
  <si>
    <t>Banking &amp; Capital Markets</t>
  </si>
  <si>
    <t>Office Professionals</t>
  </si>
  <si>
    <t>Contact Centres</t>
  </si>
  <si>
    <t>Procurement</t>
  </si>
  <si>
    <t>Education</t>
  </si>
  <si>
    <t>Retail</t>
  </si>
  <si>
    <t>Engineering &amp; Manufacturing</t>
  </si>
  <si>
    <t>Resources &amp; Mining</t>
  </si>
  <si>
    <t>Energy, Oil &amp; Gas</t>
  </si>
  <si>
    <t>Telecoms</t>
  </si>
  <si>
    <t>Short-term and low-value leases</t>
  </si>
  <si>
    <t>Contractor</t>
  </si>
  <si>
    <t>Freelance worker who is paid to work on a specific project or task. Typically works on a project basis for a fixed period of time, usually around 6-12 months</t>
  </si>
  <si>
    <t>Flex/Flexible worker</t>
  </si>
  <si>
    <t>Encompasses both Temp and Contractor workers</t>
  </si>
  <si>
    <t>Pre-exceptional operating costs</t>
  </si>
  <si>
    <t>Exceptional costs</t>
  </si>
  <si>
    <t>Pre-exceptional non-D&amp;A costs</t>
  </si>
  <si>
    <t>Pre-exceptional operating profit (EBIT)</t>
  </si>
  <si>
    <t>Total costs (incl. exceptionals)</t>
  </si>
  <si>
    <t>Exceptional staff costs</t>
  </si>
  <si>
    <t>Other exceptional external charges</t>
  </si>
  <si>
    <t>Reporting period</t>
  </si>
  <si>
    <t>Post-exceptional operating profit (EBIT)</t>
  </si>
  <si>
    <t>Q1 21</t>
  </si>
  <si>
    <t>D &amp; A*</t>
  </si>
  <si>
    <t>End-of-quarter consultant headcount</t>
  </si>
  <si>
    <t>Q2 21</t>
  </si>
  <si>
    <t>n/a</t>
  </si>
  <si>
    <t>Q3 21</t>
  </si>
  <si>
    <t>Q4 21</t>
  </si>
  <si>
    <t>Technology</t>
  </si>
  <si>
    <t>Australia &amp; New Zealand (ANZ)</t>
  </si>
  <si>
    <t>UK &amp; Ireland (UK&amp;I)</t>
  </si>
  <si>
    <t>Rest of World (RoW)</t>
  </si>
  <si>
    <t>Q1 22</t>
  </si>
  <si>
    <t>Q2 22</t>
  </si>
  <si>
    <t>Our percentage placement fee, usually based on the Perm candidate's base salary</t>
  </si>
  <si>
    <t>Our internal Group reporting cycle comprises some countries which report using 12 calendar months, and some which report using 13 four-weekly periods. The Group’s annual cost base equates to c.12.5x our cost base per period. This is consistent with prior years</t>
  </si>
  <si>
    <t>REGIONAL BREAKDOWN OF NET FEES</t>
  </si>
  <si>
    <t>~ ANZ</t>
  </si>
  <si>
    <t>HR</t>
  </si>
  <si>
    <t>ANZ net fees</t>
  </si>
  <si>
    <t>~ Germany</t>
  </si>
  <si>
    <t>Germany net fees</t>
  </si>
  <si>
    <t>~ UK&amp;I</t>
  </si>
  <si>
    <t>UK&amp;I net fees</t>
  </si>
  <si>
    <t>~ RoW</t>
  </si>
  <si>
    <t>RoW net fees</t>
  </si>
  <si>
    <t>Loss / (Profit) on disposal of property, plant and equipment</t>
  </si>
  <si>
    <t>Q3 22</t>
  </si>
  <si>
    <t>Q4 22</t>
  </si>
  <si>
    <t>Enterprise client</t>
  </si>
  <si>
    <t>Clients whom we bill a significant amount each year, typically &gt;£100K in fees. Within this, direct outsourcing fees in Enterprise clients (formerly Hays Talent Solutions) includes our MSP and RPO contracts</t>
  </si>
  <si>
    <t>Like-for-like/organic</t>
  </si>
  <si>
    <t>HR services</t>
  </si>
  <si>
    <t>Broader suite of people-related capabilities which support clients’ and candidates’ wider needs beyond recruitment. For example, consultancy, onboarding, upskilling and reskilling</t>
  </si>
  <si>
    <t>Sustainability</t>
  </si>
  <si>
    <t>FY23</t>
  </si>
  <si>
    <t>Thailand</t>
  </si>
  <si>
    <t>Q1 23</t>
  </si>
  <si>
    <t>Q2 23</t>
  </si>
  <si>
    <t>Q3 23</t>
  </si>
  <si>
    <t>Q4 23</t>
  </si>
  <si>
    <r>
      <t xml:space="preserve">Profit after tax </t>
    </r>
    <r>
      <rPr>
        <sz val="8.8000000000000007"/>
        <rFont val="Arial"/>
        <family val="2"/>
      </rPr>
      <t>(from continuing operations, post-exceptional items)</t>
    </r>
  </si>
  <si>
    <r>
      <t>EBITDA</t>
    </r>
    <r>
      <rPr>
        <sz val="10"/>
        <rFont val="Arial"/>
        <family val="2"/>
      </rPr>
      <t xml:space="preserve"> (pre-exceptional)</t>
    </r>
  </si>
  <si>
    <r>
      <t>EBITA</t>
    </r>
    <r>
      <rPr>
        <sz val="10"/>
        <rFont val="Arial"/>
        <family val="2"/>
      </rPr>
      <t xml:space="preserve"> (pre-exceptional)</t>
    </r>
  </si>
  <si>
    <t xml:space="preserve">Exceptional / Other items </t>
  </si>
  <si>
    <r>
      <t xml:space="preserve">(Increase)/decrease in year </t>
    </r>
    <r>
      <rPr>
        <sz val="10"/>
        <rFont val="Arial"/>
        <family val="2"/>
      </rPr>
      <t>(or period)</t>
    </r>
  </si>
  <si>
    <r>
      <t xml:space="preserve">Bank loans and overdrafts at end of year </t>
    </r>
    <r>
      <rPr>
        <sz val="10"/>
        <rFont val="Arial"/>
        <family val="2"/>
      </rPr>
      <t>(or period)</t>
    </r>
  </si>
  <si>
    <r>
      <t xml:space="preserve">Net cash at end of year </t>
    </r>
    <r>
      <rPr>
        <sz val="10"/>
        <rFont val="Arial"/>
        <family val="2"/>
      </rPr>
      <t>(or period)</t>
    </r>
  </si>
  <si>
    <t>H1 23</t>
  </si>
  <si>
    <t>H2 23</t>
  </si>
  <si>
    <t>H1 24</t>
  </si>
  <si>
    <t>FY24</t>
  </si>
  <si>
    <t>Q1 24</t>
  </si>
  <si>
    <t>Q2 24</t>
  </si>
  <si>
    <t>Q3 24</t>
  </si>
  <si>
    <t>Q4 24</t>
  </si>
  <si>
    <t>FY25</t>
  </si>
  <si>
    <t>Q1 25</t>
  </si>
  <si>
    <t>Q2 25</t>
  </si>
  <si>
    <t>Q3 25</t>
  </si>
  <si>
    <t>Q4 25</t>
  </si>
  <si>
    <t xml:space="preserve">  Germany Contracting </t>
  </si>
  <si>
    <t>H2 24</t>
  </si>
  <si>
    <t>H1 25</t>
  </si>
  <si>
    <t>H2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</si>
</sst>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
    <numFmt numFmtId="165" formatCode="#,##0%;\(#,##0%\)"/>
    <numFmt numFmtId="166" formatCode="#,##0.0%;\(#,##0.0%\)"/>
    <numFmt numFmtId="167" formatCode="0.0;\(0.0\)"/>
    <numFmt numFmtId="168" formatCode="#,##0.00&quot;p&quot;;\(#,##0.00&quot;p&quot;\)"/>
    <numFmt numFmtId="169" formatCode="#,##0&quot;bps&quot;;\(#,##0&quot;bps&quot;\)"/>
    <numFmt numFmtId="170" formatCode="#,##0.0"/>
    <numFmt numFmtId="171" formatCode="0%;[Red]\(0%\)"/>
    <numFmt numFmtId="172" formatCode="#,##0;\(#,##0\)"/>
    <numFmt numFmtId="173" formatCode="0.0%"/>
  </numFmts>
  <fonts count="120" x14ac:knownFonts="1">
    <font>
      <sz val="11"/>
      <color theme="1"/>
      <name val="Calibri"/>
      <family val="2"/>
      <scheme val="minor"/>
    </font>
    <font>
      <b/>
      <sz val="10"/>
      <color theme="1"/>
      <name val="Arial"/>
      <family val="2"/>
    </font>
    <font>
      <sz val="10"/>
      <color theme="1"/>
      <name val="Arial"/>
      <family val="2"/>
    </font>
    <font>
      <sz val="11"/>
      <color theme="1"/>
      <name val="Arial"/>
      <family val="2"/>
    </font>
    <font>
      <sz val="10"/>
      <name val="Arial"/>
      <family val="2"/>
    </font>
    <font>
      <b/>
      <sz val="9"/>
      <color theme="1"/>
      <name val="Arial"/>
      <family val="2"/>
    </font>
    <font>
      <sz val="9"/>
      <color theme="1"/>
      <name val="Arial"/>
      <family val="2"/>
    </font>
    <font>
      <sz val="11"/>
      <color theme="1"/>
      <name val="Calibri"/>
      <family val="2"/>
      <scheme val="minor"/>
    </font>
    <font>
      <sz val="11"/>
      <color theme="0"/>
      <name val="Arial"/>
      <family val="2"/>
    </font>
    <font>
      <sz val="10"/>
      <color theme="0"/>
      <name val="Arial"/>
      <family val="2"/>
    </font>
    <font>
      <b/>
      <sz val="10"/>
      <color theme="0"/>
      <name val="Arial"/>
      <family val="2"/>
    </font>
    <font>
      <b/>
      <sz val="11"/>
      <color theme="0"/>
      <name val="Arial"/>
      <family val="2"/>
    </font>
    <font>
      <b/>
      <sz val="11"/>
      <color theme="1"/>
      <name val="Arial"/>
      <family val="2"/>
    </font>
    <font>
      <b/>
      <sz val="10"/>
      <color rgb="FFFFFFFF"/>
      <name val="Arial"/>
      <family val="2"/>
    </font>
    <font>
      <sz val="11"/>
      <name val="Arial"/>
      <family val="2"/>
    </font>
    <font>
      <i/>
      <sz val="8"/>
      <color theme="3"/>
      <name val="Arial"/>
      <family val="2"/>
    </font>
    <font>
      <b/>
      <sz val="11"/>
      <name val="Arial"/>
      <family val="2"/>
    </font>
    <font>
      <b/>
      <sz val="11"/>
      <color rgb="FFFFFFFF"/>
      <name val="Arial"/>
      <family val="2"/>
    </font>
    <font>
      <i/>
      <sz val="9"/>
      <color theme="3"/>
      <name val="Arial"/>
      <family val="2"/>
    </font>
    <font>
      <i/>
      <sz val="11"/>
      <color theme="3"/>
      <name val="Arial"/>
      <family val="2"/>
    </font>
    <font>
      <i/>
      <sz val="8"/>
      <color theme="3" tint="0.39997558519241921"/>
      <name val="Arial"/>
      <family val="2"/>
    </font>
    <font>
      <i/>
      <sz val="8"/>
      <name val="Arial"/>
      <family val="2"/>
    </font>
    <font>
      <b/>
      <sz val="10"/>
      <name val="Arial"/>
      <family val="2"/>
    </font>
    <font>
      <sz val="9"/>
      <color theme="0"/>
      <name val="Arial"/>
      <family val="2"/>
    </font>
    <font>
      <b/>
      <sz val="11"/>
      <color theme="5"/>
      <name val="Arial"/>
      <family val="2"/>
    </font>
    <font>
      <sz val="8"/>
      <name val="Arial"/>
      <family val="2"/>
    </font>
    <font>
      <sz val="11"/>
      <color theme="3"/>
      <name val="Arial"/>
      <family val="2"/>
    </font>
    <font>
      <i/>
      <sz val="8"/>
      <color rgb="FF747678"/>
      <name val="Arial"/>
      <family val="2"/>
    </font>
    <font>
      <i/>
      <sz val="9"/>
      <color rgb="FF747678"/>
      <name val="Arial"/>
      <family val="2"/>
    </font>
    <font>
      <i/>
      <sz val="11"/>
      <color rgb="FF747678"/>
      <name val="Arial"/>
      <family val="2"/>
    </font>
    <font>
      <b/>
      <u/>
      <sz val="10"/>
      <name val="Arial"/>
      <family val="2"/>
    </font>
    <font>
      <sz val="7.5"/>
      <name val="Arial"/>
      <family val="2"/>
    </font>
    <font>
      <sz val="7.5"/>
      <color theme="6" tint="-0.34998626667073579"/>
      <name val="Arial"/>
      <family val="2"/>
    </font>
    <font>
      <b/>
      <sz val="7.5"/>
      <name val="Arial"/>
      <family val="2"/>
    </font>
    <font>
      <b/>
      <sz val="8.5"/>
      <color theme="0"/>
      <name val="Arial"/>
      <family val="2"/>
    </font>
    <font>
      <sz val="8.5"/>
      <color theme="0"/>
      <name val="Arial"/>
      <family val="2"/>
    </font>
    <font>
      <i/>
      <sz val="8.5"/>
      <color theme="0"/>
      <name val="Arial"/>
      <family val="2"/>
    </font>
    <font>
      <sz val="8.5"/>
      <color theme="0"/>
      <name val="Calibri"/>
      <family val="2"/>
    </font>
    <font>
      <b/>
      <sz val="9"/>
      <name val="Arial"/>
      <family val="2"/>
    </font>
    <font>
      <b/>
      <sz val="9"/>
      <color indexed="81"/>
      <name val="Tahoma"/>
      <family val="2"/>
    </font>
    <font>
      <sz val="9"/>
      <color indexed="81"/>
      <name val="Tahoma"/>
      <family val="2"/>
    </font>
    <font>
      <i/>
      <sz val="9"/>
      <name val="Arial"/>
      <family val="2"/>
    </font>
    <font>
      <i/>
      <sz val="11"/>
      <name val="Arial"/>
      <family val="2"/>
    </font>
    <font>
      <b/>
      <sz val="16"/>
      <color rgb="FF000000"/>
      <name val="Arial"/>
      <family val="2"/>
    </font>
    <font>
      <b/>
      <sz val="18"/>
      <color theme="1"/>
      <name val="Arial"/>
      <family val="2"/>
    </font>
    <font>
      <sz val="11"/>
      <color theme="4"/>
      <name val="Arial"/>
      <family val="2"/>
    </font>
    <font>
      <sz val="9"/>
      <color theme="4"/>
      <name val="Arial"/>
      <family val="2"/>
    </font>
    <font>
      <b/>
      <sz val="11"/>
      <color theme="4"/>
      <name val="Arial"/>
      <family val="2"/>
    </font>
    <font>
      <sz val="11"/>
      <color rgb="FF747678"/>
      <name val="Arial"/>
      <family val="2"/>
    </font>
    <font>
      <sz val="7.5"/>
      <color theme="1"/>
      <name val="Arial"/>
      <family val="2"/>
    </font>
    <font>
      <sz val="10"/>
      <color theme="0" tint="-0.14999847407452621"/>
      <name val="Arial"/>
      <family val="2"/>
    </font>
    <font>
      <b/>
      <sz val="10"/>
      <color theme="0" tint="-0.14999847407452621"/>
      <name val="Arial"/>
      <family val="2"/>
    </font>
    <font>
      <i/>
      <sz val="8"/>
      <color theme="0" tint="-0.14999847407452621"/>
      <name val="Arial"/>
      <family val="2"/>
    </font>
    <font>
      <sz val="11"/>
      <color theme="0" tint="-0.14999847407452621"/>
      <name val="Arial"/>
      <family val="2"/>
    </font>
    <font>
      <i/>
      <sz val="11"/>
      <color theme="1"/>
      <name val="Arial"/>
      <family val="2"/>
    </font>
    <font>
      <sz val="11"/>
      <color rgb="FFC7C7C7"/>
      <name val="Arial"/>
      <family val="2"/>
    </font>
    <font>
      <sz val="11"/>
      <color theme="9" tint="0.39997558519241921"/>
      <name val="Arial"/>
      <family val="2"/>
    </font>
    <font>
      <sz val="10"/>
      <color theme="6" tint="-0.14999847407452621"/>
      <name val="Arial"/>
      <family val="2"/>
    </font>
    <font>
      <i/>
      <sz val="9.5"/>
      <color theme="1"/>
      <name val="Arial"/>
      <family val="2"/>
    </font>
    <font>
      <sz val="11"/>
      <color theme="0" tint="-0.249977111117893"/>
      <name val="Arial"/>
      <family val="2"/>
    </font>
    <font>
      <b/>
      <sz val="10"/>
      <color rgb="FF99DAF3"/>
      <name val="Arial"/>
      <family val="2"/>
    </font>
    <font>
      <b/>
      <sz val="11"/>
      <color rgb="FF99DAF3"/>
      <name val="Arial"/>
      <family val="2"/>
    </font>
    <font>
      <sz val="10"/>
      <color rgb="FF99DAF3"/>
      <name val="Arial"/>
      <family val="2"/>
    </font>
    <font>
      <sz val="11"/>
      <color theme="6"/>
      <name val="Arial"/>
      <family val="2"/>
    </font>
    <font>
      <sz val="9"/>
      <color theme="6"/>
      <name val="Arial"/>
      <family val="2"/>
    </font>
    <font>
      <b/>
      <sz val="11"/>
      <color theme="6"/>
      <name val="Arial"/>
      <family val="2"/>
    </font>
    <font>
      <sz val="9"/>
      <color rgb="FFFF0000"/>
      <name val="Arial"/>
      <family val="2"/>
    </font>
    <font>
      <i/>
      <sz val="10"/>
      <color theme="1"/>
      <name val="Arial"/>
      <family val="2"/>
    </font>
    <font>
      <i/>
      <sz val="10"/>
      <name val="Arial"/>
      <family val="2"/>
    </font>
    <font>
      <sz val="7.5"/>
      <color theme="0"/>
      <name val="Arial"/>
      <family val="2"/>
    </font>
    <font>
      <b/>
      <sz val="16"/>
      <color theme="6"/>
      <name val="Arial"/>
      <family val="2"/>
    </font>
    <font>
      <b/>
      <sz val="16"/>
      <color theme="4"/>
      <name val="Arial"/>
      <family val="2"/>
    </font>
    <font>
      <sz val="9"/>
      <name val="Arial"/>
      <family val="2"/>
    </font>
    <font>
      <i/>
      <sz val="9.5"/>
      <name val="Arial"/>
      <family val="2"/>
    </font>
    <font>
      <sz val="7.5"/>
      <color theme="6"/>
      <name val="Arial"/>
      <family val="2"/>
    </font>
    <font>
      <i/>
      <sz val="8"/>
      <color theme="9"/>
      <name val="Arial"/>
      <family val="2"/>
    </font>
    <font>
      <sz val="11"/>
      <color theme="2"/>
      <name val="Arial"/>
      <family val="2"/>
    </font>
    <font>
      <sz val="12"/>
      <color theme="0"/>
      <name val="Arial"/>
      <family val="2"/>
    </font>
    <font>
      <b/>
      <sz val="12"/>
      <color theme="0"/>
      <name val="Arial"/>
      <family val="2"/>
    </font>
    <font>
      <b/>
      <sz val="12"/>
      <name val="Arial"/>
      <family val="2"/>
    </font>
    <font>
      <b/>
      <sz val="12"/>
      <color rgb="FFFFFFFF"/>
      <name val="Arial"/>
      <family val="2"/>
    </font>
    <font>
      <sz val="12"/>
      <color theme="1"/>
      <name val="Arial"/>
      <family val="2"/>
    </font>
    <font>
      <b/>
      <sz val="11"/>
      <color theme="0" tint="-0.34998626667073579"/>
      <name val="Arial"/>
      <family val="2"/>
    </font>
    <font>
      <sz val="11"/>
      <color theme="9" tint="0.79998168889431442"/>
      <name val="Arial"/>
      <family val="2"/>
    </font>
    <font>
      <sz val="9"/>
      <color theme="9" tint="0.79998168889431442"/>
      <name val="Arial"/>
      <family val="2"/>
    </font>
    <font>
      <sz val="11"/>
      <color theme="2" tint="0.39997558519241921"/>
      <name val="Arial"/>
      <family val="2"/>
    </font>
    <font>
      <i/>
      <sz val="8"/>
      <color theme="2"/>
      <name val="Arial"/>
      <family val="2"/>
    </font>
    <font>
      <b/>
      <sz val="16"/>
      <color theme="5"/>
      <name val="Arial"/>
      <family val="2"/>
    </font>
    <font>
      <b/>
      <sz val="16"/>
      <color theme="8"/>
      <name val="Arial"/>
      <family val="2"/>
    </font>
    <font>
      <b/>
      <sz val="16"/>
      <color theme="7"/>
      <name val="Arial"/>
      <family val="2"/>
    </font>
    <font>
      <sz val="10.5"/>
      <color theme="0"/>
      <name val="Arial"/>
      <family val="2"/>
    </font>
    <font>
      <sz val="8"/>
      <name val="Calibri"/>
      <family val="2"/>
      <scheme val="minor"/>
    </font>
    <font>
      <b/>
      <sz val="8"/>
      <color theme="1"/>
      <name val="Arial"/>
      <family val="2"/>
    </font>
    <font>
      <i/>
      <sz val="8"/>
      <color theme="0" tint="-0.499984740745262"/>
      <name val="Arial"/>
      <family val="2"/>
    </font>
    <font>
      <i/>
      <sz val="9"/>
      <color theme="0" tint="-0.499984740745262"/>
      <name val="Arial"/>
      <family val="2"/>
    </font>
    <font>
      <i/>
      <sz val="11"/>
      <color theme="0" tint="-0.499984740745262"/>
      <name val="Arial"/>
      <family val="2"/>
    </font>
    <font>
      <i/>
      <sz val="9"/>
      <color theme="4"/>
      <name val="Arial"/>
      <family val="2"/>
    </font>
    <font>
      <i/>
      <sz val="8"/>
      <color theme="4"/>
      <name val="Arial"/>
      <family val="2"/>
    </font>
    <font>
      <i/>
      <sz val="11"/>
      <color theme="4"/>
      <name val="Arial"/>
      <family val="2"/>
    </font>
    <font>
      <sz val="8"/>
      <color theme="4"/>
      <name val="Arial"/>
      <family val="2"/>
    </font>
    <font>
      <i/>
      <sz val="10"/>
      <color theme="0" tint="-0.499984740745262"/>
      <name val="Arial"/>
      <family val="2"/>
    </font>
    <font>
      <sz val="11"/>
      <color theme="8"/>
      <name val="Arial"/>
      <family val="2"/>
    </font>
    <font>
      <sz val="9"/>
      <color theme="8"/>
      <name val="Arial"/>
      <family val="2"/>
    </font>
    <font>
      <b/>
      <sz val="11"/>
      <color theme="8"/>
      <name val="Arial"/>
      <family val="2"/>
    </font>
    <font>
      <sz val="11"/>
      <color theme="5"/>
      <name val="Arial"/>
      <family val="2"/>
    </font>
    <font>
      <sz val="9"/>
      <color theme="5"/>
      <name val="Arial"/>
      <family val="2"/>
    </font>
    <font>
      <b/>
      <sz val="16"/>
      <color theme="1"/>
      <name val="Arial"/>
      <family val="2"/>
    </font>
    <font>
      <b/>
      <sz val="16"/>
      <color theme="0" tint="-0.499984740745262"/>
      <name val="Arial"/>
      <family val="2"/>
    </font>
    <font>
      <b/>
      <sz val="16"/>
      <color theme="9"/>
      <name val="Arial"/>
      <family val="2"/>
    </font>
    <font>
      <sz val="7.5"/>
      <color theme="8"/>
      <name val="Arial"/>
      <family val="2"/>
    </font>
    <font>
      <sz val="7.5"/>
      <color theme="5"/>
      <name val="Arial"/>
      <family val="2"/>
    </font>
    <font>
      <sz val="7.5"/>
      <color theme="8" tint="0.39997558519241921"/>
      <name val="Arial"/>
      <family val="2"/>
    </font>
    <font>
      <sz val="8.5"/>
      <color theme="6" tint="-0.249977111117893"/>
      <name val="Arial"/>
      <family val="2"/>
    </font>
    <font>
      <sz val="7.5"/>
      <color theme="4" tint="-0.249977111117893"/>
      <name val="Arial"/>
      <family val="2"/>
    </font>
    <font>
      <sz val="8.5"/>
      <color theme="4" tint="-0.249977111117893"/>
      <name val="Arial"/>
      <family val="2"/>
    </font>
    <font>
      <sz val="7.5"/>
      <color theme="6" tint="-0.249977111117893"/>
      <name val="Arial"/>
      <family val="2"/>
    </font>
    <font>
      <sz val="8.8000000000000007"/>
      <name val="Arial"/>
      <family val="2"/>
    </font>
    <font>
      <sz val="9"/>
      <color theme="0" tint="-0.14999847407452621"/>
      <name val="Arial"/>
      <family val="2"/>
    </font>
    <font>
      <b/>
      <sz val="11"/>
      <color theme="0" tint="-0.14999847407452621"/>
      <name val="Arial"/>
      <family val="2"/>
    </font>
    <font>
      <i/>
      <sz val="10"/>
      <color rgb="FF747678"/>
      <name val="Arial"/>
      <family val="2"/>
    </font>
  </fonts>
  <fills count="29">
    <fill>
      <patternFill patternType="none"/>
    </fill>
    <fill>
      <patternFill patternType="gray125"/>
    </fill>
    <fill>
      <patternFill patternType="solid">
        <fgColor rgb="FFC7C7C7"/>
        <bgColor indexed="64"/>
      </patternFill>
    </fill>
    <fill>
      <patternFill patternType="solid">
        <fgColor rgb="FFFFFF99"/>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rgb="FF002776"/>
        <bgColor indexed="64"/>
      </patternFill>
    </fill>
    <fill>
      <patternFill patternType="solid">
        <fgColor theme="5" tint="0.79998168889431442"/>
        <bgColor indexed="64"/>
      </patternFill>
    </fill>
    <fill>
      <patternFill patternType="solid">
        <fgColor theme="1"/>
        <bgColor indexed="64"/>
      </patternFill>
    </fill>
    <fill>
      <patternFill patternType="solid">
        <fgColor theme="3"/>
        <bgColor indexed="64"/>
      </patternFill>
    </fill>
    <fill>
      <patternFill patternType="solid">
        <fgColor theme="6" tint="0.59999389629810485"/>
        <bgColor indexed="64"/>
      </patternFill>
    </fill>
    <fill>
      <patternFill patternType="solid">
        <fgColor theme="6"/>
        <bgColor indexed="64"/>
      </patternFill>
    </fill>
    <fill>
      <patternFill patternType="solid">
        <fgColor theme="4" tint="0.79998168889431442"/>
        <bgColor indexed="64"/>
      </patternFill>
    </fill>
    <fill>
      <patternFill patternType="solid">
        <fgColor rgb="FF99DAF3"/>
        <bgColor indexed="64"/>
      </patternFill>
    </fill>
    <fill>
      <patternFill patternType="solid">
        <fgColor theme="8"/>
        <bgColor indexed="64"/>
      </patternFill>
    </fill>
    <fill>
      <patternFill patternType="solid">
        <fgColor theme="0" tint="-0.249977111117893"/>
        <bgColor indexed="64"/>
      </patternFill>
    </fill>
    <fill>
      <patternFill patternType="solid">
        <fgColor theme="0"/>
        <bgColor indexed="64"/>
      </patternFill>
    </fill>
    <fill>
      <patternFill patternType="solid">
        <fgColor theme="2" tint="0.59999389629810485"/>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1" tint="0.39997558519241921"/>
        <bgColor indexed="64"/>
      </patternFill>
    </fill>
    <fill>
      <patternFill patternType="solid">
        <fgColor theme="7"/>
        <bgColor indexed="64"/>
      </patternFill>
    </fill>
    <fill>
      <patternFill patternType="solid">
        <fgColor theme="0" tint="-0.34998626667073579"/>
        <bgColor indexed="64"/>
      </patternFill>
    </fill>
    <fill>
      <patternFill patternType="solid">
        <fgColor theme="4" tint="0.59999389629810485"/>
        <bgColor indexed="64"/>
      </patternFill>
    </fill>
  </fills>
  <borders count="57">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bottom/>
      <diagonal/>
    </border>
    <border>
      <left style="thin">
        <color indexed="64"/>
      </left>
      <right style="thin">
        <color indexed="64"/>
      </right>
      <top style="dotted">
        <color theme="6" tint="-0.34998626667073579"/>
      </top>
      <bottom/>
      <diagonal/>
    </border>
    <border>
      <left/>
      <right/>
      <top style="dotted">
        <color theme="6" tint="-0.34998626667073579"/>
      </top>
      <bottom/>
      <diagonal/>
    </border>
    <border>
      <left/>
      <right/>
      <top style="dotted">
        <color theme="6" tint="-0.499984740745262"/>
      </top>
      <bottom/>
      <diagonal/>
    </border>
    <border>
      <left style="mediumDashDot">
        <color theme="8"/>
      </left>
      <right/>
      <top style="mediumDashDot">
        <color theme="8"/>
      </top>
      <bottom/>
      <diagonal/>
    </border>
    <border>
      <left/>
      <right/>
      <top style="mediumDashDot">
        <color theme="8"/>
      </top>
      <bottom/>
      <diagonal/>
    </border>
    <border>
      <left/>
      <right style="mediumDashDot">
        <color theme="8"/>
      </right>
      <top style="mediumDashDot">
        <color theme="8"/>
      </top>
      <bottom/>
      <diagonal/>
    </border>
    <border>
      <left style="mediumDashDot">
        <color theme="8"/>
      </left>
      <right/>
      <top/>
      <bottom/>
      <diagonal/>
    </border>
    <border>
      <left/>
      <right style="mediumDashDot">
        <color theme="8"/>
      </right>
      <top/>
      <bottom/>
      <diagonal/>
    </border>
    <border>
      <left style="mediumDashDot">
        <color theme="8"/>
      </left>
      <right/>
      <top style="thin">
        <color indexed="64"/>
      </top>
      <bottom style="double">
        <color indexed="64"/>
      </bottom>
      <diagonal/>
    </border>
    <border>
      <left/>
      <right style="mediumDashDot">
        <color theme="8"/>
      </right>
      <top style="thin">
        <color indexed="64"/>
      </top>
      <bottom style="double">
        <color indexed="64"/>
      </bottom>
      <diagonal/>
    </border>
    <border>
      <left style="mediumDashDot">
        <color theme="8"/>
      </left>
      <right/>
      <top style="thin">
        <color indexed="64"/>
      </top>
      <bottom style="mediumDashDot">
        <color theme="8"/>
      </bottom>
      <diagonal/>
    </border>
    <border>
      <left/>
      <right/>
      <top style="thin">
        <color indexed="64"/>
      </top>
      <bottom style="mediumDashDot">
        <color theme="8"/>
      </bottom>
      <diagonal/>
    </border>
    <border>
      <left/>
      <right style="mediumDashDot">
        <color theme="8"/>
      </right>
      <top style="thin">
        <color indexed="64"/>
      </top>
      <bottom style="mediumDashDot">
        <color theme="8"/>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Dot">
        <color theme="5"/>
      </left>
      <right/>
      <top style="mediumDashDot">
        <color theme="5"/>
      </top>
      <bottom/>
      <diagonal/>
    </border>
    <border>
      <left/>
      <right/>
      <top style="mediumDashDot">
        <color theme="5"/>
      </top>
      <bottom/>
      <diagonal/>
    </border>
    <border>
      <left/>
      <right style="mediumDashDot">
        <color theme="5"/>
      </right>
      <top style="mediumDashDot">
        <color theme="5"/>
      </top>
      <bottom/>
      <diagonal/>
    </border>
    <border>
      <left style="mediumDashDot">
        <color theme="5"/>
      </left>
      <right/>
      <top/>
      <bottom/>
      <diagonal/>
    </border>
    <border>
      <left/>
      <right style="mediumDashDot">
        <color theme="5"/>
      </right>
      <top/>
      <bottom/>
      <diagonal/>
    </border>
    <border>
      <left style="mediumDashDot">
        <color theme="5"/>
      </left>
      <right/>
      <top style="thin">
        <color indexed="64"/>
      </top>
      <bottom style="double">
        <color indexed="64"/>
      </bottom>
      <diagonal/>
    </border>
    <border>
      <left/>
      <right style="mediumDashDot">
        <color theme="5"/>
      </right>
      <top style="thin">
        <color indexed="64"/>
      </top>
      <bottom style="double">
        <color indexed="64"/>
      </bottom>
      <diagonal/>
    </border>
    <border>
      <left style="mediumDashDot">
        <color theme="5"/>
      </left>
      <right/>
      <top/>
      <bottom style="mediumDashDot">
        <color theme="5"/>
      </bottom>
      <diagonal/>
    </border>
    <border>
      <left/>
      <right/>
      <top/>
      <bottom style="mediumDashDot">
        <color theme="5"/>
      </bottom>
      <diagonal/>
    </border>
    <border>
      <left/>
      <right style="mediumDashDot">
        <color theme="5"/>
      </right>
      <top/>
      <bottom style="mediumDashDot">
        <color theme="5"/>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top/>
      <bottom style="thin">
        <color theme="3"/>
      </bottom>
      <diagonal/>
    </border>
    <border>
      <left/>
      <right style="medium">
        <color indexed="64"/>
      </right>
      <top/>
      <bottom style="thin">
        <color theme="3"/>
      </bottom>
      <diagonal/>
    </border>
    <border>
      <left style="medium">
        <color indexed="64"/>
      </left>
      <right/>
      <top style="thin">
        <color theme="3"/>
      </top>
      <bottom style="thin">
        <color theme="3"/>
      </bottom>
      <diagonal/>
    </border>
    <border>
      <left/>
      <right style="medium">
        <color indexed="64"/>
      </right>
      <top style="thin">
        <color theme="3"/>
      </top>
      <bottom style="thin">
        <color theme="3"/>
      </bottom>
      <diagonal/>
    </border>
    <border>
      <left style="medium">
        <color indexed="64"/>
      </left>
      <right/>
      <top style="thin">
        <color theme="3"/>
      </top>
      <bottom style="medium">
        <color indexed="64"/>
      </bottom>
      <diagonal/>
    </border>
    <border>
      <left/>
      <right style="medium">
        <color indexed="64"/>
      </right>
      <top style="thin">
        <color theme="3"/>
      </top>
      <bottom style="medium">
        <color indexed="64"/>
      </bottom>
      <diagonal/>
    </border>
  </borders>
  <cellStyleXfs count="7">
    <xf numFmtId="0" fontId="0" fillId="0" borderId="0"/>
    <xf numFmtId="43" fontId="7" fillId="0" borderId="0" applyFont="0" applyFill="0" applyBorder="0" applyAlignment="0" applyProtection="0"/>
    <xf numFmtId="3" fontId="4" fillId="0" borderId="0"/>
    <xf numFmtId="9" fontId="7"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692">
    <xf numFmtId="0" fontId="0" fillId="0" borderId="0" xfId="0"/>
    <xf numFmtId="0" fontId="3" fillId="0" borderId="0" xfId="0" applyFont="1"/>
    <xf numFmtId="164" fontId="6" fillId="0" borderId="0" xfId="0" applyNumberFormat="1" applyFont="1"/>
    <xf numFmtId="164" fontId="3" fillId="2" borderId="0" xfId="0" applyNumberFormat="1" applyFont="1" applyFill="1"/>
    <xf numFmtId="0" fontId="8" fillId="4" borderId="0" xfId="0" applyFont="1" applyFill="1"/>
    <xf numFmtId="164" fontId="9" fillId="4" borderId="0" xfId="0" applyNumberFormat="1" applyFont="1" applyFill="1"/>
    <xf numFmtId="164" fontId="10" fillId="4" borderId="0" xfId="0" applyNumberFormat="1" applyFont="1" applyFill="1"/>
    <xf numFmtId="0" fontId="8" fillId="5" borderId="0" xfId="0" applyFont="1" applyFill="1"/>
    <xf numFmtId="164" fontId="9" fillId="5" borderId="0" xfId="0" applyNumberFormat="1" applyFont="1" applyFill="1"/>
    <xf numFmtId="164" fontId="10" fillId="5" borderId="0" xfId="0" applyNumberFormat="1" applyFont="1" applyFill="1"/>
    <xf numFmtId="0" fontId="11" fillId="5" borderId="0" xfId="0" applyFont="1" applyFill="1"/>
    <xf numFmtId="0" fontId="6" fillId="0" borderId="0" xfId="0" applyFont="1"/>
    <xf numFmtId="164" fontId="12" fillId="0" borderId="0" xfId="0" applyNumberFormat="1" applyFont="1"/>
    <xf numFmtId="164" fontId="3" fillId="0" borderId="0" xfId="0" applyNumberFormat="1" applyFont="1" applyAlignment="1">
      <alignment horizontal="left" indent="1"/>
    </xf>
    <xf numFmtId="164" fontId="14" fillId="0" borderId="0" xfId="1" applyNumberFormat="1" applyFont="1" applyFill="1" applyBorder="1" applyAlignment="1">
      <alignment horizontal="left" indent="1"/>
    </xf>
    <xf numFmtId="164" fontId="16" fillId="0" borderId="4" xfId="1" applyNumberFormat="1" applyFont="1" applyFill="1" applyBorder="1"/>
    <xf numFmtId="166" fontId="15" fillId="0" borderId="0" xfId="0" applyNumberFormat="1" applyFont="1" applyAlignment="1">
      <alignment horizontal="left" indent="2"/>
    </xf>
    <xf numFmtId="0" fontId="8" fillId="0" borderId="0" xfId="0" applyFont="1"/>
    <xf numFmtId="0" fontId="3" fillId="0" borderId="0" xfId="0" applyFont="1" applyAlignment="1">
      <alignment horizontal="left" indent="1"/>
    </xf>
    <xf numFmtId="164" fontId="12" fillId="0" borderId="5" xfId="0" applyNumberFormat="1" applyFont="1" applyBorder="1"/>
    <xf numFmtId="164" fontId="3" fillId="0" borderId="0" xfId="0" applyNumberFormat="1" applyFont="1"/>
    <xf numFmtId="164" fontId="4" fillId="0" borderId="0" xfId="1" applyNumberFormat="1" applyFont="1" applyFill="1" applyBorder="1"/>
    <xf numFmtId="164" fontId="4" fillId="0" borderId="0" xfId="1" applyNumberFormat="1" applyFont="1" applyFill="1" applyBorder="1" applyAlignment="1">
      <alignment horizontal="right"/>
    </xf>
    <xf numFmtId="165" fontId="15" fillId="0" borderId="0" xfId="0" applyNumberFormat="1" applyFont="1" applyAlignment="1">
      <alignment horizontal="left" indent="1"/>
    </xf>
    <xf numFmtId="165" fontId="18" fillId="0" borderId="0" xfId="3" applyNumberFormat="1" applyFont="1" applyFill="1" applyBorder="1" applyAlignment="1">
      <alignment horizontal="right"/>
    </xf>
    <xf numFmtId="165" fontId="20" fillId="0" borderId="0" xfId="0" applyNumberFormat="1" applyFont="1"/>
    <xf numFmtId="164" fontId="4" fillId="0" borderId="0" xfId="3" applyNumberFormat="1" applyFont="1" applyFill="1" applyBorder="1" applyAlignment="1">
      <alignment horizontal="right"/>
    </xf>
    <xf numFmtId="164" fontId="22" fillId="0" borderId="0" xfId="1" applyNumberFormat="1" applyFont="1" applyFill="1" applyBorder="1"/>
    <xf numFmtId="164" fontId="22" fillId="0" borderId="4" xfId="1" applyNumberFormat="1" applyFont="1" applyFill="1" applyBorder="1"/>
    <xf numFmtId="164" fontId="22" fillId="0" borderId="4" xfId="1" applyNumberFormat="1" applyFont="1" applyFill="1" applyBorder="1" applyAlignment="1">
      <alignment horizontal="right"/>
    </xf>
    <xf numFmtId="164" fontId="4" fillId="0" borderId="0" xfId="0" applyNumberFormat="1" applyFont="1"/>
    <xf numFmtId="166" fontId="15" fillId="0" borderId="0" xfId="0" applyNumberFormat="1" applyFont="1" applyAlignment="1">
      <alignment horizontal="left" indent="1"/>
    </xf>
    <xf numFmtId="166" fontId="18" fillId="0" borderId="0" xfId="3" applyNumberFormat="1" applyFont="1" applyFill="1" applyBorder="1" applyAlignment="1">
      <alignment horizontal="right"/>
    </xf>
    <xf numFmtId="166" fontId="15" fillId="0" borderId="0" xfId="3" applyNumberFormat="1" applyFont="1" applyFill="1" applyBorder="1" applyAlignment="1">
      <alignment horizontal="right"/>
    </xf>
    <xf numFmtId="166" fontId="21" fillId="0" borderId="0" xfId="0" applyNumberFormat="1" applyFont="1"/>
    <xf numFmtId="165" fontId="21" fillId="0" borderId="0" xfId="0" applyNumberFormat="1" applyFont="1"/>
    <xf numFmtId="0" fontId="23" fillId="0" borderId="0" xfId="0" applyFont="1"/>
    <xf numFmtId="166" fontId="25" fillId="0" borderId="0" xfId="0" applyNumberFormat="1" applyFont="1"/>
    <xf numFmtId="164" fontId="5" fillId="0" borderId="5" xfId="0" applyNumberFormat="1" applyFont="1" applyBorder="1"/>
    <xf numFmtId="167" fontId="3" fillId="0" borderId="0" xfId="0" applyNumberFormat="1" applyFont="1"/>
    <xf numFmtId="168" fontId="3" fillId="0" borderId="0" xfId="0" applyNumberFormat="1" applyFont="1"/>
    <xf numFmtId="168" fontId="12" fillId="0" borderId="0" xfId="0" applyNumberFormat="1" applyFont="1"/>
    <xf numFmtId="165" fontId="27" fillId="0" borderId="0" xfId="0" applyNumberFormat="1" applyFont="1" applyAlignment="1">
      <alignment horizontal="left" indent="3"/>
    </xf>
    <xf numFmtId="165" fontId="27" fillId="0" borderId="0" xfId="0" applyNumberFormat="1" applyFont="1" applyAlignment="1">
      <alignment horizontal="left" indent="2"/>
    </xf>
    <xf numFmtId="165" fontId="28" fillId="0" borderId="0" xfId="3" applyNumberFormat="1" applyFont="1" applyFill="1" applyBorder="1" applyAlignment="1">
      <alignment horizontal="right"/>
    </xf>
    <xf numFmtId="165" fontId="28" fillId="0" borderId="0" xfId="3" applyNumberFormat="1" applyFont="1" applyFill="1" applyBorder="1" applyAlignment="1" applyProtection="1">
      <alignment horizontal="right" vertical="center"/>
      <protection locked="0"/>
    </xf>
    <xf numFmtId="165" fontId="27" fillId="0" borderId="0" xfId="0" applyNumberFormat="1" applyFont="1"/>
    <xf numFmtId="0" fontId="3" fillId="2" borderId="0" xfId="0" applyFont="1" applyFill="1"/>
    <xf numFmtId="164" fontId="14" fillId="2" borderId="0" xfId="1" applyNumberFormat="1" applyFont="1" applyFill="1" applyBorder="1"/>
    <xf numFmtId="165" fontId="19" fillId="2" borderId="0" xfId="3" applyNumberFormat="1" applyFont="1" applyFill="1" applyBorder="1" applyAlignment="1">
      <alignment horizontal="right"/>
    </xf>
    <xf numFmtId="164" fontId="14" fillId="2" borderId="0" xfId="1" applyNumberFormat="1" applyFont="1" applyFill="1" applyBorder="1" applyAlignment="1">
      <alignment horizontal="right"/>
    </xf>
    <xf numFmtId="164" fontId="14" fillId="2" borderId="0" xfId="3" applyNumberFormat="1" applyFont="1" applyFill="1" applyBorder="1" applyAlignment="1" applyProtection="1">
      <alignment horizontal="right" vertical="center"/>
      <protection locked="0"/>
    </xf>
    <xf numFmtId="164" fontId="16" fillId="2" borderId="4" xfId="1" applyNumberFormat="1" applyFont="1" applyFill="1" applyBorder="1" applyAlignment="1">
      <alignment horizontal="right"/>
    </xf>
    <xf numFmtId="166" fontId="19" fillId="2" borderId="0" xfId="3" applyNumberFormat="1" applyFont="1" applyFill="1" applyBorder="1" applyAlignment="1">
      <alignment horizontal="right"/>
    </xf>
    <xf numFmtId="0" fontId="8" fillId="2" borderId="0" xfId="0" applyFont="1" applyFill="1"/>
    <xf numFmtId="166" fontId="15" fillId="2" borderId="0" xfId="3" applyNumberFormat="1" applyFont="1" applyFill="1" applyBorder="1" applyAlignment="1">
      <alignment horizontal="right"/>
    </xf>
    <xf numFmtId="164" fontId="12" fillId="2" borderId="5" xfId="0" applyNumberFormat="1" applyFont="1" applyFill="1" applyBorder="1"/>
    <xf numFmtId="164" fontId="4" fillId="2" borderId="0" xfId="1" applyNumberFormat="1" applyFont="1" applyFill="1" applyBorder="1"/>
    <xf numFmtId="165" fontId="15" fillId="2" borderId="0" xfId="3" applyNumberFormat="1" applyFont="1" applyFill="1" applyBorder="1" applyAlignment="1">
      <alignment horizontal="right"/>
    </xf>
    <xf numFmtId="164" fontId="22" fillId="2" borderId="4" xfId="1" applyNumberFormat="1" applyFont="1" applyFill="1" applyBorder="1" applyAlignment="1">
      <alignment horizontal="right"/>
    </xf>
    <xf numFmtId="0" fontId="22" fillId="0" borderId="0" xfId="4" applyFont="1"/>
    <xf numFmtId="0" fontId="30" fillId="0" borderId="0" xfId="4" applyFont="1" applyAlignment="1">
      <alignment horizontal="left"/>
    </xf>
    <xf numFmtId="0" fontId="4" fillId="0" borderId="0" xfId="4"/>
    <xf numFmtId="0" fontId="22" fillId="0" borderId="0" xfId="4" applyFont="1" applyAlignment="1">
      <alignment horizontal="left" vertical="center" wrapText="1"/>
    </xf>
    <xf numFmtId="0" fontId="22" fillId="0" borderId="6" xfId="4" applyFont="1" applyBorder="1" applyAlignment="1">
      <alignment horizontal="center" vertical="center" wrapText="1"/>
    </xf>
    <xf numFmtId="0" fontId="4" fillId="0" borderId="0" xfId="4" applyAlignment="1">
      <alignment horizontal="center" vertical="center" wrapText="1"/>
    </xf>
    <xf numFmtId="0" fontId="22" fillId="0" borderId="7" xfId="4" applyFont="1" applyBorder="1" applyAlignment="1">
      <alignment horizontal="center" vertical="center" wrapText="1"/>
    </xf>
    <xf numFmtId="49" fontId="4" fillId="0" borderId="0" xfId="4" applyNumberFormat="1" applyAlignment="1">
      <alignment horizontal="left"/>
    </xf>
    <xf numFmtId="3" fontId="4" fillId="0" borderId="7" xfId="4" applyNumberFormat="1" applyBorder="1" applyAlignment="1">
      <alignment horizontal="center"/>
    </xf>
    <xf numFmtId="49" fontId="4" fillId="0" borderId="0" xfId="4" quotePrefix="1" applyNumberFormat="1" applyAlignment="1">
      <alignment horizontal="left"/>
    </xf>
    <xf numFmtId="3" fontId="4" fillId="0" borderId="7" xfId="4" quotePrefix="1" applyNumberFormat="1" applyBorder="1" applyAlignment="1">
      <alignment horizontal="center"/>
    </xf>
    <xf numFmtId="49" fontId="4" fillId="0" borderId="7" xfId="4" applyNumberFormat="1" applyBorder="1" applyAlignment="1">
      <alignment horizontal="left"/>
    </xf>
    <xf numFmtId="3" fontId="4" fillId="0" borderId="8" xfId="4" applyNumberFormat="1" applyBorder="1" applyAlignment="1">
      <alignment horizontal="center"/>
    </xf>
    <xf numFmtId="0" fontId="30" fillId="0" borderId="0" xfId="4" applyFont="1"/>
    <xf numFmtId="3" fontId="22" fillId="0" borderId="7" xfId="4" applyNumberFormat="1" applyFont="1" applyBorder="1" applyAlignment="1">
      <alignment horizontal="center"/>
    </xf>
    <xf numFmtId="49" fontId="30" fillId="0" borderId="0" xfId="4" applyNumberFormat="1" applyFont="1" applyAlignment="1">
      <alignment horizontal="left"/>
    </xf>
    <xf numFmtId="3" fontId="10" fillId="7" borderId="7" xfId="4" applyNumberFormat="1" applyFont="1" applyFill="1" applyBorder="1" applyAlignment="1">
      <alignment horizontal="center"/>
    </xf>
    <xf numFmtId="3" fontId="4" fillId="0" borderId="9" xfId="4" applyNumberFormat="1" applyBorder="1" applyAlignment="1">
      <alignment horizontal="center"/>
    </xf>
    <xf numFmtId="3" fontId="4" fillId="0" borderId="0" xfId="4" applyNumberFormat="1" applyAlignment="1">
      <alignment horizontal="center"/>
    </xf>
    <xf numFmtId="3" fontId="4" fillId="0" borderId="0" xfId="4" applyNumberFormat="1"/>
    <xf numFmtId="0" fontId="10" fillId="5" borderId="0" xfId="4" applyFont="1" applyFill="1" applyAlignment="1">
      <alignment horizontal="center"/>
    </xf>
    <xf numFmtId="0" fontId="10" fillId="5" borderId="0" xfId="4" quotePrefix="1" applyFont="1" applyFill="1" applyAlignment="1">
      <alignment horizontal="center"/>
    </xf>
    <xf numFmtId="165" fontId="16" fillId="0" borderId="4" xfId="1" applyNumberFormat="1" applyFont="1" applyFill="1" applyBorder="1"/>
    <xf numFmtId="165" fontId="22" fillId="0" borderId="4" xfId="1" applyNumberFormat="1" applyFont="1" applyFill="1" applyBorder="1"/>
    <xf numFmtId="165" fontId="22" fillId="0" borderId="4" xfId="1" applyNumberFormat="1" applyFont="1" applyFill="1" applyBorder="1" applyAlignment="1">
      <alignment horizontal="right"/>
    </xf>
    <xf numFmtId="165" fontId="16" fillId="2" borderId="4" xfId="1" applyNumberFormat="1" applyFont="1" applyFill="1" applyBorder="1" applyAlignment="1">
      <alignment horizontal="right"/>
    </xf>
    <xf numFmtId="165" fontId="22" fillId="2" borderId="4" xfId="1" applyNumberFormat="1" applyFont="1" applyFill="1" applyBorder="1" applyAlignment="1">
      <alignment horizontal="right"/>
    </xf>
    <xf numFmtId="165" fontId="4" fillId="0" borderId="0" xfId="0" applyNumberFormat="1" applyFont="1"/>
    <xf numFmtId="3" fontId="14" fillId="0" borderId="0" xfId="1" applyNumberFormat="1" applyFont="1" applyFill="1" applyBorder="1" applyAlignment="1">
      <alignment horizontal="left" indent="1"/>
    </xf>
    <xf numFmtId="3" fontId="4" fillId="0" borderId="0" xfId="1" applyNumberFormat="1" applyFont="1" applyFill="1" applyBorder="1"/>
    <xf numFmtId="3" fontId="14" fillId="2" borderId="0" xfId="1" applyNumberFormat="1" applyFont="1" applyFill="1" applyBorder="1"/>
    <xf numFmtId="3" fontId="4" fillId="0" borderId="0" xfId="1" applyNumberFormat="1" applyFont="1" applyFill="1" applyBorder="1" applyAlignment="1">
      <alignment horizontal="right"/>
    </xf>
    <xf numFmtId="3" fontId="4" fillId="2" borderId="0" xfId="1" applyNumberFormat="1" applyFont="1" applyFill="1" applyBorder="1"/>
    <xf numFmtId="3" fontId="16" fillId="0" borderId="4" xfId="1" applyNumberFormat="1" applyFont="1" applyFill="1" applyBorder="1"/>
    <xf numFmtId="3" fontId="22" fillId="0" borderId="4" xfId="1" applyNumberFormat="1" applyFont="1" applyFill="1" applyBorder="1"/>
    <xf numFmtId="3" fontId="22" fillId="0" borderId="4" xfId="1" applyNumberFormat="1" applyFont="1" applyFill="1" applyBorder="1" applyAlignment="1">
      <alignment horizontal="right"/>
    </xf>
    <xf numFmtId="3" fontId="16" fillId="2" borderId="4" xfId="1" applyNumberFormat="1" applyFont="1" applyFill="1" applyBorder="1" applyAlignment="1">
      <alignment horizontal="right"/>
    </xf>
    <xf numFmtId="3" fontId="22" fillId="2" borderId="4" xfId="1" applyNumberFormat="1" applyFont="1" applyFill="1" applyBorder="1" applyAlignment="1">
      <alignment horizontal="right"/>
    </xf>
    <xf numFmtId="3" fontId="4" fillId="0" borderId="0" xfId="0" applyNumberFormat="1" applyFont="1"/>
    <xf numFmtId="0" fontId="6" fillId="0" borderId="0" xfId="0" applyFont="1" applyAlignment="1">
      <alignment textRotation="180"/>
    </xf>
    <xf numFmtId="9" fontId="22" fillId="0" borderId="0" xfId="6" applyFont="1"/>
    <xf numFmtId="171" fontId="31" fillId="0" borderId="0" xfId="6" applyNumberFormat="1" applyFont="1" applyFill="1"/>
    <xf numFmtId="171" fontId="35" fillId="4" borderId="0" xfId="6" applyNumberFormat="1" applyFont="1" applyFill="1" applyAlignment="1">
      <alignment textRotation="90"/>
    </xf>
    <xf numFmtId="171" fontId="34" fillId="9" borderId="0" xfId="6" applyNumberFormat="1" applyFont="1" applyFill="1" applyAlignment="1">
      <alignment textRotation="90"/>
    </xf>
    <xf numFmtId="171" fontId="35" fillId="0" borderId="0" xfId="6" applyNumberFormat="1" applyFont="1" applyFill="1" applyAlignment="1">
      <alignment textRotation="90"/>
    </xf>
    <xf numFmtId="171" fontId="31" fillId="0" borderId="12" xfId="6" applyNumberFormat="1" applyFont="1" applyBorder="1"/>
    <xf numFmtId="171" fontId="31" fillId="0" borderId="12" xfId="6" applyNumberFormat="1" applyFont="1" applyFill="1" applyBorder="1"/>
    <xf numFmtId="171" fontId="31" fillId="0" borderId="0" xfId="6" applyNumberFormat="1" applyFont="1"/>
    <xf numFmtId="171" fontId="33" fillId="0" borderId="0" xfId="6" applyNumberFormat="1" applyFont="1"/>
    <xf numFmtId="9" fontId="38" fillId="0" borderId="11" xfId="6" applyFont="1" applyBorder="1"/>
    <xf numFmtId="9" fontId="38" fillId="0" borderId="13" xfId="6" applyFont="1" applyBorder="1"/>
    <xf numFmtId="171" fontId="31" fillId="8" borderId="12" xfId="6" applyNumberFormat="1" applyFont="1" applyFill="1" applyBorder="1"/>
    <xf numFmtId="171" fontId="31" fillId="8" borderId="0" xfId="6" applyNumberFormat="1" applyFont="1" applyFill="1"/>
    <xf numFmtId="171" fontId="31" fillId="0" borderId="15" xfId="6" applyNumberFormat="1" applyFont="1" applyBorder="1"/>
    <xf numFmtId="171" fontId="31" fillId="0" borderId="15" xfId="6" applyNumberFormat="1" applyFont="1" applyFill="1" applyBorder="1"/>
    <xf numFmtId="171" fontId="31" fillId="0" borderId="16" xfId="6" applyNumberFormat="1" applyFont="1" applyBorder="1"/>
    <xf numFmtId="171" fontId="31" fillId="0" borderId="16" xfId="6" applyNumberFormat="1" applyFont="1" applyFill="1" applyBorder="1"/>
    <xf numFmtId="166" fontId="14" fillId="0" borderId="0" xfId="1" applyNumberFormat="1" applyFont="1" applyFill="1" applyBorder="1" applyAlignment="1">
      <alignment horizontal="left" indent="1"/>
    </xf>
    <xf numFmtId="166" fontId="21" fillId="0" borderId="0" xfId="0" applyNumberFormat="1" applyFont="1" applyAlignment="1">
      <alignment horizontal="left" indent="1"/>
    </xf>
    <xf numFmtId="166" fontId="41" fillId="0" borderId="0" xfId="3" applyNumberFormat="1" applyFont="1" applyFill="1" applyBorder="1" applyAlignment="1">
      <alignment horizontal="right"/>
    </xf>
    <xf numFmtId="165" fontId="14" fillId="0" borderId="0" xfId="1" applyNumberFormat="1" applyFont="1" applyFill="1" applyBorder="1" applyAlignment="1">
      <alignment horizontal="left" indent="1"/>
    </xf>
    <xf numFmtId="165" fontId="21" fillId="0" borderId="0" xfId="0" applyNumberFormat="1" applyFont="1" applyAlignment="1">
      <alignment horizontal="left" indent="1"/>
    </xf>
    <xf numFmtId="165" fontId="41" fillId="0" borderId="0" xfId="3" applyNumberFormat="1" applyFont="1" applyFill="1" applyBorder="1" applyAlignment="1">
      <alignment horizontal="right"/>
    </xf>
    <xf numFmtId="165" fontId="3" fillId="0" borderId="0" xfId="0" applyNumberFormat="1" applyFont="1" applyAlignment="1">
      <alignment horizontal="left" indent="1"/>
    </xf>
    <xf numFmtId="165" fontId="3" fillId="0" borderId="0" xfId="0" applyNumberFormat="1" applyFont="1"/>
    <xf numFmtId="165" fontId="3" fillId="0" borderId="5" xfId="0" applyNumberFormat="1" applyFont="1" applyBorder="1"/>
    <xf numFmtId="172" fontId="3" fillId="0" borderId="0" xfId="0" applyNumberFormat="1" applyFont="1"/>
    <xf numFmtId="172" fontId="6" fillId="0" borderId="0" xfId="0" applyNumberFormat="1" applyFont="1"/>
    <xf numFmtId="172" fontId="45" fillId="0" borderId="0" xfId="0" applyNumberFormat="1" applyFont="1" applyAlignment="1">
      <alignment horizontal="left" indent="1"/>
    </xf>
    <xf numFmtId="172" fontId="45" fillId="0" borderId="0" xfId="0" applyNumberFormat="1" applyFont="1"/>
    <xf numFmtId="172" fontId="46" fillId="0" borderId="0" xfId="0" applyNumberFormat="1" applyFont="1"/>
    <xf numFmtId="164" fontId="4" fillId="0" borderId="0" xfId="0" applyNumberFormat="1" applyFont="1" applyAlignment="1">
      <alignment horizontal="right" vertical="center"/>
    </xf>
    <xf numFmtId="0" fontId="49" fillId="0" borderId="0" xfId="0" applyFont="1"/>
    <xf numFmtId="173" fontId="3" fillId="0" borderId="0" xfId="3" applyNumberFormat="1" applyFont="1"/>
    <xf numFmtId="164" fontId="25" fillId="0" borderId="0" xfId="1" applyNumberFormat="1" applyFont="1" applyFill="1" applyBorder="1"/>
    <xf numFmtId="164" fontId="25" fillId="0" borderId="0" xfId="0" applyNumberFormat="1" applyFont="1"/>
    <xf numFmtId="3" fontId="13" fillId="0" borderId="0" xfId="2" applyFont="1"/>
    <xf numFmtId="3" fontId="17" fillId="0" borderId="0" xfId="2" applyFont="1"/>
    <xf numFmtId="3" fontId="2" fillId="0" borderId="0" xfId="2" applyFont="1"/>
    <xf numFmtId="3" fontId="24" fillId="0" borderId="0" xfId="2" applyFont="1"/>
    <xf numFmtId="164" fontId="8" fillId="0" borderId="0" xfId="0" applyNumberFormat="1" applyFont="1"/>
    <xf numFmtId="3" fontId="4" fillId="0" borderId="0" xfId="2"/>
    <xf numFmtId="164" fontId="14" fillId="0" borderId="0" xfId="0" applyNumberFormat="1" applyFont="1"/>
    <xf numFmtId="164" fontId="16" fillId="0" borderId="4" xfId="1" applyNumberFormat="1" applyFont="1" applyFill="1" applyBorder="1" applyAlignment="1">
      <alignment horizontal="right"/>
    </xf>
    <xf numFmtId="164" fontId="14" fillId="0" borderId="0" xfId="1" applyNumberFormat="1" applyFont="1" applyFill="1" applyBorder="1"/>
    <xf numFmtId="173" fontId="14" fillId="0" borderId="0" xfId="3" applyNumberFormat="1" applyFont="1" applyFill="1" applyBorder="1"/>
    <xf numFmtId="3" fontId="3" fillId="0" borderId="0" xfId="2" applyFont="1"/>
    <xf numFmtId="173" fontId="3" fillId="0" borderId="0" xfId="3" applyNumberFormat="1" applyFont="1" applyFill="1"/>
    <xf numFmtId="172" fontId="4" fillId="0" borderId="0" xfId="1" applyNumberFormat="1" applyFont="1" applyFill="1" applyBorder="1"/>
    <xf numFmtId="172" fontId="22" fillId="0" borderId="0" xfId="1" applyNumberFormat="1" applyFont="1" applyFill="1" applyBorder="1"/>
    <xf numFmtId="172" fontId="4" fillId="0" borderId="0" xfId="0" applyNumberFormat="1" applyFont="1"/>
    <xf numFmtId="172" fontId="21" fillId="0" borderId="0" xfId="0" applyNumberFormat="1" applyFont="1"/>
    <xf numFmtId="172" fontId="14" fillId="0" borderId="0" xfId="0" applyNumberFormat="1" applyFont="1"/>
    <xf numFmtId="172" fontId="8" fillId="0" borderId="0" xfId="0" applyNumberFormat="1" applyFont="1"/>
    <xf numFmtId="172" fontId="2" fillId="0" borderId="0" xfId="2" applyNumberFormat="1" applyFont="1"/>
    <xf numFmtId="3" fontId="50" fillId="0" borderId="0" xfId="2" applyFont="1"/>
    <xf numFmtId="172" fontId="50" fillId="0" borderId="0" xfId="1" applyNumberFormat="1" applyFont="1" applyFill="1" applyBorder="1"/>
    <xf numFmtId="172" fontId="51" fillId="0" borderId="0" xfId="1" applyNumberFormat="1" applyFont="1" applyFill="1" applyBorder="1"/>
    <xf numFmtId="172" fontId="50" fillId="0" borderId="0" xfId="0" applyNumberFormat="1" applyFont="1"/>
    <xf numFmtId="172" fontId="52" fillId="0" borderId="0" xfId="0" applyNumberFormat="1" applyFont="1"/>
    <xf numFmtId="172" fontId="53" fillId="0" borderId="0" xfId="0" applyNumberFormat="1" applyFont="1"/>
    <xf numFmtId="172" fontId="50" fillId="0" borderId="0" xfId="2" applyNumberFormat="1" applyFont="1"/>
    <xf numFmtId="164" fontId="4" fillId="0" borderId="17" xfId="1" applyNumberFormat="1" applyFont="1" applyFill="1" applyBorder="1"/>
    <xf numFmtId="164" fontId="4" fillId="0" borderId="18" xfId="1" applyNumberFormat="1" applyFont="1" applyFill="1" applyBorder="1"/>
    <xf numFmtId="164" fontId="4" fillId="0" borderId="19" xfId="1" applyNumberFormat="1" applyFont="1" applyFill="1" applyBorder="1"/>
    <xf numFmtId="164" fontId="4" fillId="0" borderId="20" xfId="1" applyNumberFormat="1" applyFont="1" applyFill="1" applyBorder="1"/>
    <xf numFmtId="164" fontId="4" fillId="0" borderId="21" xfId="1" applyNumberFormat="1" applyFont="1" applyFill="1" applyBorder="1"/>
    <xf numFmtId="164" fontId="16" fillId="0" borderId="22" xfId="1" applyNumberFormat="1" applyFont="1" applyFill="1" applyBorder="1" applyAlignment="1">
      <alignment horizontal="right"/>
    </xf>
    <xf numFmtId="164" fontId="16" fillId="0" borderId="23" xfId="1" applyNumberFormat="1" applyFont="1" applyFill="1" applyBorder="1" applyAlignment="1">
      <alignment horizontal="right"/>
    </xf>
    <xf numFmtId="166" fontId="21" fillId="0" borderId="20" xfId="0" applyNumberFormat="1" applyFont="1" applyBorder="1"/>
    <xf numFmtId="166" fontId="21" fillId="0" borderId="21" xfId="0" applyNumberFormat="1" applyFont="1" applyBorder="1"/>
    <xf numFmtId="0" fontId="8" fillId="0" borderId="20" xfId="0" applyFont="1" applyBorder="1"/>
    <xf numFmtId="0" fontId="8" fillId="0" borderId="21" xfId="0" applyFont="1" applyBorder="1"/>
    <xf numFmtId="3" fontId="2" fillId="0" borderId="20" xfId="2" applyFont="1" applyBorder="1"/>
    <xf numFmtId="3" fontId="2" fillId="0" borderId="21" xfId="2" applyFont="1" applyBorder="1"/>
    <xf numFmtId="164" fontId="3" fillId="0" borderId="20" xfId="0" applyNumberFormat="1" applyFont="1" applyBorder="1"/>
    <xf numFmtId="164" fontId="3" fillId="0" borderId="21" xfId="0" applyNumberFormat="1" applyFont="1" applyBorder="1"/>
    <xf numFmtId="164" fontId="12" fillId="0" borderId="24" xfId="0" applyNumberFormat="1" applyFont="1" applyBorder="1"/>
    <xf numFmtId="164" fontId="12" fillId="0" borderId="25" xfId="0" applyNumberFormat="1" applyFont="1" applyBorder="1"/>
    <xf numFmtId="164" fontId="12" fillId="0" borderId="26" xfId="0" applyNumberFormat="1" applyFont="1" applyBorder="1"/>
    <xf numFmtId="0" fontId="11" fillId="4" borderId="0" xfId="0" applyFont="1" applyFill="1"/>
    <xf numFmtId="3" fontId="22" fillId="0" borderId="0" xfId="2" applyFont="1"/>
    <xf numFmtId="0" fontId="12" fillId="0" borderId="0" xfId="0" applyFont="1"/>
    <xf numFmtId="0" fontId="54" fillId="0" borderId="0" xfId="0" applyFont="1"/>
    <xf numFmtId="173" fontId="47" fillId="3" borderId="0" xfId="3" applyNumberFormat="1" applyFont="1" applyFill="1" applyAlignment="1"/>
    <xf numFmtId="173" fontId="16" fillId="0" borderId="4" xfId="3" applyNumberFormat="1" applyFont="1" applyFill="1" applyBorder="1"/>
    <xf numFmtId="164" fontId="14" fillId="0" borderId="0" xfId="1" applyNumberFormat="1" applyFont="1" applyFill="1" applyBorder="1" applyAlignment="1">
      <alignment horizontal="right"/>
    </xf>
    <xf numFmtId="172" fontId="16" fillId="0" borderId="4" xfId="1" applyNumberFormat="1" applyFont="1" applyFill="1" applyBorder="1" applyAlignment="1">
      <alignment horizontal="right"/>
    </xf>
    <xf numFmtId="0" fontId="56" fillId="5" borderId="0" xfId="0" applyFont="1" applyFill="1"/>
    <xf numFmtId="3" fontId="57" fillId="0" borderId="0" xfId="2" applyFont="1"/>
    <xf numFmtId="172" fontId="57" fillId="0" borderId="0" xfId="1" applyNumberFormat="1" applyFont="1" applyFill="1" applyBorder="1"/>
    <xf numFmtId="164" fontId="57" fillId="0" borderId="0" xfId="1" applyNumberFormat="1" applyFont="1" applyFill="1" applyBorder="1"/>
    <xf numFmtId="172" fontId="57" fillId="0" borderId="0" xfId="0" applyNumberFormat="1" applyFont="1"/>
    <xf numFmtId="172" fontId="22" fillId="0" borderId="4" xfId="1" applyNumberFormat="1" applyFont="1" applyFill="1" applyBorder="1" applyAlignment="1">
      <alignment horizontal="right"/>
    </xf>
    <xf numFmtId="3" fontId="9" fillId="0" borderId="0" xfId="2" applyFont="1"/>
    <xf numFmtId="0" fontId="11" fillId="4" borderId="0" xfId="0" applyFont="1" applyFill="1" applyAlignment="1">
      <alignment horizontal="right"/>
    </xf>
    <xf numFmtId="0" fontId="11" fillId="5" borderId="0" xfId="0" applyFont="1" applyFill="1" applyAlignment="1">
      <alignment horizontal="right"/>
    </xf>
    <xf numFmtId="165" fontId="21" fillId="0" borderId="0" xfId="0" applyNumberFormat="1" applyFont="1" applyAlignment="1">
      <alignment horizontal="left" indent="2"/>
    </xf>
    <xf numFmtId="167" fontId="58" fillId="0" borderId="0" xfId="0" applyNumberFormat="1" applyFont="1"/>
    <xf numFmtId="172" fontId="23" fillId="0" borderId="0" xfId="0" applyNumberFormat="1" applyFont="1"/>
    <xf numFmtId="0" fontId="8" fillId="10" borderId="0" xfId="0" applyFont="1" applyFill="1"/>
    <xf numFmtId="164" fontId="9" fillId="10" borderId="0" xfId="0" applyNumberFormat="1" applyFont="1" applyFill="1"/>
    <xf numFmtId="164" fontId="10" fillId="10" borderId="0" xfId="0" applyNumberFormat="1" applyFont="1" applyFill="1"/>
    <xf numFmtId="171" fontId="35" fillId="12" borderId="0" xfId="6" applyNumberFormat="1" applyFont="1" applyFill="1" applyAlignment="1">
      <alignment textRotation="90"/>
    </xf>
    <xf numFmtId="0" fontId="11" fillId="10" borderId="0" xfId="0" applyFont="1" applyFill="1"/>
    <xf numFmtId="0" fontId="56" fillId="4" borderId="0" xfId="0" applyFont="1" applyFill="1"/>
    <xf numFmtId="3" fontId="47" fillId="0" borderId="0" xfId="2" applyFont="1"/>
    <xf numFmtId="168" fontId="54" fillId="0" borderId="0" xfId="0" applyNumberFormat="1" applyFont="1"/>
    <xf numFmtId="3" fontId="22" fillId="14" borderId="0" xfId="2" applyFont="1" applyFill="1"/>
    <xf numFmtId="164" fontId="54" fillId="0" borderId="0" xfId="0" applyNumberFormat="1" applyFont="1"/>
    <xf numFmtId="0" fontId="16" fillId="14" borderId="0" xfId="0" applyFont="1" applyFill="1"/>
    <xf numFmtId="0" fontId="14" fillId="14" borderId="0" xfId="0" applyFont="1" applyFill="1"/>
    <xf numFmtId="164" fontId="4" fillId="14" borderId="0" xfId="0" applyNumberFormat="1" applyFont="1" applyFill="1"/>
    <xf numFmtId="164" fontId="22" fillId="14" borderId="0" xfId="0" applyNumberFormat="1" applyFont="1" applyFill="1"/>
    <xf numFmtId="3" fontId="16" fillId="14" borderId="0" xfId="2" applyFont="1" applyFill="1"/>
    <xf numFmtId="3" fontId="4" fillId="14" borderId="0" xfId="2" applyFill="1"/>
    <xf numFmtId="171" fontId="31" fillId="5" borderId="0" xfId="6" applyNumberFormat="1" applyFont="1" applyFill="1"/>
    <xf numFmtId="172" fontId="63" fillId="0" borderId="0" xfId="0" applyNumberFormat="1" applyFont="1" applyAlignment="1">
      <alignment horizontal="left" indent="1"/>
    </xf>
    <xf numFmtId="172" fontId="63" fillId="0" borderId="0" xfId="0" applyNumberFormat="1" applyFont="1"/>
    <xf numFmtId="172" fontId="64" fillId="0" borderId="0" xfId="0" applyNumberFormat="1" applyFont="1"/>
    <xf numFmtId="171" fontId="35" fillId="0" borderId="0" xfId="6" applyNumberFormat="1" applyFont="1" applyFill="1" applyAlignment="1">
      <alignment horizontal="center" textRotation="90"/>
    </xf>
    <xf numFmtId="164" fontId="22" fillId="0" borderId="0" xfId="1" applyNumberFormat="1" applyFont="1" applyFill="1" applyBorder="1" applyAlignment="1">
      <alignment horizontal="right"/>
    </xf>
    <xf numFmtId="166" fontId="23" fillId="0" borderId="0" xfId="0" applyNumberFormat="1" applyFont="1"/>
    <xf numFmtId="166" fontId="66" fillId="0" borderId="0" xfId="0" applyNumberFormat="1" applyFont="1"/>
    <xf numFmtId="173" fontId="6" fillId="0" borderId="0" xfId="0" applyNumberFormat="1" applyFont="1"/>
    <xf numFmtId="0" fontId="14" fillId="0" borderId="0" xfId="0" applyFont="1"/>
    <xf numFmtId="165" fontId="6" fillId="0" borderId="0" xfId="0" applyNumberFormat="1" applyFont="1"/>
    <xf numFmtId="165" fontId="6" fillId="0" borderId="5" xfId="0" applyNumberFormat="1" applyFont="1" applyBorder="1"/>
    <xf numFmtId="164" fontId="3" fillId="5" borderId="0" xfId="0" applyNumberFormat="1" applyFont="1" applyFill="1"/>
    <xf numFmtId="164" fontId="14" fillId="5" borderId="0" xfId="1" applyNumberFormat="1" applyFont="1" applyFill="1" applyBorder="1"/>
    <xf numFmtId="165" fontId="19" fillId="5" borderId="0" xfId="3" applyNumberFormat="1" applyFont="1" applyFill="1" applyBorder="1" applyAlignment="1">
      <alignment horizontal="right"/>
    </xf>
    <xf numFmtId="164" fontId="16" fillId="5" borderId="4" xfId="1" applyNumberFormat="1" applyFont="1" applyFill="1" applyBorder="1" applyAlignment="1">
      <alignment horizontal="right"/>
    </xf>
    <xf numFmtId="165" fontId="28" fillId="0" borderId="0" xfId="3" applyNumberFormat="1" applyFont="1" applyFill="1" applyBorder="1" applyAlignment="1" applyProtection="1">
      <alignment horizontal="right" vertical="center"/>
    </xf>
    <xf numFmtId="164" fontId="4" fillId="0" borderId="0" xfId="1" applyNumberFormat="1" applyFont="1" applyFill="1" applyBorder="1" applyAlignment="1" applyProtection="1">
      <alignment horizontal="right"/>
    </xf>
    <xf numFmtId="165" fontId="25" fillId="0" borderId="0" xfId="0" applyNumberFormat="1" applyFont="1"/>
    <xf numFmtId="164" fontId="14" fillId="2" borderId="0" xfId="0" applyNumberFormat="1" applyFont="1" applyFill="1" applyAlignment="1">
      <alignment horizontal="right" vertical="center"/>
    </xf>
    <xf numFmtId="1" fontId="67" fillId="0" borderId="0" xfId="0" applyNumberFormat="1" applyFont="1" applyAlignment="1">
      <alignment textRotation="180" wrapText="1"/>
    </xf>
    <xf numFmtId="1" fontId="68" fillId="0" borderId="0" xfId="6" applyNumberFormat="1" applyFont="1" applyFill="1" applyAlignment="1">
      <alignment wrapText="1"/>
    </xf>
    <xf numFmtId="0" fontId="2" fillId="0" borderId="0" xfId="0" applyFont="1" applyAlignment="1">
      <alignment wrapText="1"/>
    </xf>
    <xf numFmtId="171" fontId="33" fillId="0" borderId="12" xfId="6" applyNumberFormat="1" applyFont="1" applyFill="1" applyBorder="1"/>
    <xf numFmtId="171" fontId="33" fillId="0" borderId="0" xfId="6" applyNumberFormat="1" applyFont="1" applyFill="1"/>
    <xf numFmtId="171" fontId="33" fillId="0" borderId="15" xfId="6" applyNumberFormat="1" applyFont="1" applyFill="1" applyBorder="1"/>
    <xf numFmtId="171" fontId="33" fillId="0" borderId="16" xfId="6" applyNumberFormat="1" applyFont="1" applyFill="1" applyBorder="1"/>
    <xf numFmtId="172" fontId="4" fillId="0" borderId="0" xfId="0" applyNumberFormat="1" applyFont="1" applyAlignment="1">
      <alignment horizontal="left" indent="1"/>
    </xf>
    <xf numFmtId="172" fontId="2" fillId="0" borderId="0" xfId="0" applyNumberFormat="1" applyFont="1"/>
    <xf numFmtId="164" fontId="14" fillId="5" borderId="0" xfId="1" applyNumberFormat="1" applyFont="1" applyFill="1" applyBorder="1" applyAlignment="1">
      <alignment horizontal="right"/>
    </xf>
    <xf numFmtId="3" fontId="47" fillId="5" borderId="0" xfId="2" applyFont="1" applyFill="1"/>
    <xf numFmtId="164" fontId="12" fillId="5" borderId="5" xfId="0" applyNumberFormat="1" applyFont="1" applyFill="1" applyBorder="1"/>
    <xf numFmtId="165" fontId="15" fillId="5"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55" fillId="0" borderId="0" xfId="0" applyFont="1"/>
    <xf numFmtId="170" fontId="55" fillId="0" borderId="0" xfId="0" applyNumberFormat="1" applyFont="1"/>
    <xf numFmtId="172" fontId="55" fillId="0" borderId="0" xfId="0" applyNumberFormat="1" applyFont="1"/>
    <xf numFmtId="0" fontId="55" fillId="0" borderId="0" xfId="0" quotePrefix="1" applyFont="1"/>
    <xf numFmtId="0" fontId="55" fillId="0" borderId="0" xfId="0" quotePrefix="1" applyFont="1" applyAlignment="1">
      <alignment horizontal="left"/>
    </xf>
    <xf numFmtId="172" fontId="14" fillId="0" borderId="0" xfId="1" applyNumberFormat="1" applyFont="1" applyFill="1" applyBorder="1"/>
    <xf numFmtId="172" fontId="42" fillId="0" borderId="0" xfId="0" applyNumberFormat="1" applyFont="1"/>
    <xf numFmtId="172" fontId="14" fillId="0" borderId="0" xfId="2" applyNumberFormat="1" applyFont="1"/>
    <xf numFmtId="166" fontId="19" fillId="5" borderId="0" xfId="3" applyNumberFormat="1" applyFont="1" applyFill="1" applyBorder="1" applyAlignment="1">
      <alignment horizontal="right"/>
    </xf>
    <xf numFmtId="0" fontId="8" fillId="4" borderId="32" xfId="0" applyFont="1" applyFill="1" applyBorder="1"/>
    <xf numFmtId="0" fontId="8" fillId="4" borderId="34" xfId="0" applyFont="1" applyFill="1" applyBorder="1"/>
    <xf numFmtId="3" fontId="9" fillId="0" borderId="35" xfId="2" applyFont="1" applyBorder="1"/>
    <xf numFmtId="3" fontId="9" fillId="0" borderId="36" xfId="2" applyFont="1" applyBorder="1"/>
    <xf numFmtId="172" fontId="4" fillId="0" borderId="35" xfId="1" applyNumberFormat="1" applyFont="1" applyFill="1" applyBorder="1"/>
    <xf numFmtId="172" fontId="4" fillId="0" borderId="36" xfId="1" applyNumberFormat="1" applyFont="1" applyFill="1" applyBorder="1"/>
    <xf numFmtId="172" fontId="16" fillId="0" borderId="37" xfId="1" applyNumberFormat="1" applyFont="1" applyFill="1" applyBorder="1" applyAlignment="1">
      <alignment horizontal="right"/>
    </xf>
    <xf numFmtId="172" fontId="16" fillId="0" borderId="38" xfId="1" applyNumberFormat="1" applyFont="1" applyFill="1" applyBorder="1" applyAlignment="1">
      <alignment horizontal="right"/>
    </xf>
    <xf numFmtId="166" fontId="21" fillId="0" borderId="39" xfId="0" applyNumberFormat="1" applyFont="1" applyBorder="1"/>
    <xf numFmtId="166" fontId="21" fillId="0" borderId="40" xfId="0" applyNumberFormat="1" applyFont="1" applyBorder="1"/>
    <xf numFmtId="166" fontId="21" fillId="0" borderId="41" xfId="0" applyNumberFormat="1" applyFont="1" applyBorder="1"/>
    <xf numFmtId="0" fontId="11" fillId="4" borderId="33" xfId="0" applyFont="1" applyFill="1" applyBorder="1" applyAlignment="1">
      <alignment horizontal="center"/>
    </xf>
    <xf numFmtId="0" fontId="8" fillId="5" borderId="35" xfId="0" applyFont="1" applyFill="1" applyBorder="1" applyAlignment="1">
      <alignment horizontal="center"/>
    </xf>
    <xf numFmtId="0" fontId="8" fillId="5" borderId="0" xfId="0" applyFont="1" applyFill="1" applyAlignment="1">
      <alignment horizontal="center"/>
    </xf>
    <xf numFmtId="0" fontId="8" fillId="5" borderId="36" xfId="0" applyFont="1" applyFill="1" applyBorder="1" applyAlignment="1">
      <alignment horizontal="center"/>
    </xf>
    <xf numFmtId="0" fontId="6" fillId="0" borderId="0" xfId="0" applyFont="1" applyAlignment="1">
      <alignment horizontal="right"/>
    </xf>
    <xf numFmtId="171" fontId="35" fillId="9" borderId="0" xfId="6" applyNumberFormat="1" applyFont="1" applyFill="1" applyAlignment="1">
      <alignment horizontal="right" textRotation="90"/>
    </xf>
    <xf numFmtId="171" fontId="35" fillId="0" borderId="0" xfId="6" applyNumberFormat="1" applyFont="1" applyFill="1" applyAlignment="1">
      <alignment horizontal="right" textRotation="90"/>
    </xf>
    <xf numFmtId="164" fontId="9" fillId="10" borderId="0" xfId="0" applyNumberFormat="1" applyFont="1" applyFill="1" applyAlignment="1">
      <alignment horizontal="right"/>
    </xf>
    <xf numFmtId="164" fontId="10" fillId="10" borderId="0" xfId="0" applyNumberFormat="1" applyFont="1" applyFill="1" applyAlignment="1">
      <alignment horizontal="right"/>
    </xf>
    <xf numFmtId="0" fontId="3" fillId="17" borderId="0" xfId="0" applyFont="1" applyFill="1"/>
    <xf numFmtId="0" fontId="70" fillId="17" borderId="2" xfId="0" applyFont="1" applyFill="1" applyBorder="1" applyAlignment="1">
      <alignment horizontal="left" indent="4"/>
    </xf>
    <xf numFmtId="0" fontId="44" fillId="17" borderId="0" xfId="0" applyFont="1" applyFill="1"/>
    <xf numFmtId="0" fontId="71" fillId="17" borderId="2" xfId="0" applyFont="1" applyFill="1" applyBorder="1" applyAlignment="1">
      <alignment horizontal="left" indent="4"/>
    </xf>
    <xf numFmtId="9" fontId="38" fillId="18" borderId="11" xfId="6" applyFont="1" applyFill="1" applyBorder="1"/>
    <xf numFmtId="9" fontId="38" fillId="18" borderId="13" xfId="6" applyFont="1" applyFill="1" applyBorder="1"/>
    <xf numFmtId="0" fontId="49" fillId="0" borderId="0" xfId="0" applyFont="1" applyAlignment="1">
      <alignment horizontal="right"/>
    </xf>
    <xf numFmtId="171" fontId="74" fillId="12" borderId="0" xfId="6" applyNumberFormat="1" applyFont="1" applyFill="1"/>
    <xf numFmtId="164" fontId="3" fillId="2" borderId="0" xfId="0" applyNumberFormat="1" applyFont="1" applyFill="1" applyAlignment="1">
      <alignment horizontal="right"/>
    </xf>
    <xf numFmtId="164" fontId="6" fillId="0" borderId="0" xfId="0" applyNumberFormat="1" applyFont="1" applyAlignment="1">
      <alignment horizontal="right"/>
    </xf>
    <xf numFmtId="0" fontId="3" fillId="0" borderId="0" xfId="0" applyFont="1" applyAlignment="1">
      <alignment horizontal="right"/>
    </xf>
    <xf numFmtId="0" fontId="3" fillId="2" borderId="0" xfId="0" applyFont="1" applyFill="1" applyAlignment="1">
      <alignment horizontal="right"/>
    </xf>
    <xf numFmtId="164" fontId="12" fillId="2" borderId="0" xfId="0" applyNumberFormat="1" applyFont="1" applyFill="1" applyAlignment="1">
      <alignment horizontal="right"/>
    </xf>
    <xf numFmtId="172" fontId="23" fillId="0" borderId="0" xfId="0" applyNumberFormat="1" applyFont="1" applyAlignment="1">
      <alignment horizontal="right"/>
    </xf>
    <xf numFmtId="172" fontId="59" fillId="2" borderId="0" xfId="0" applyNumberFormat="1" applyFont="1" applyFill="1" applyAlignment="1">
      <alignment horizontal="right"/>
    </xf>
    <xf numFmtId="0" fontId="23" fillId="0" borderId="0" xfId="0" applyFont="1" applyAlignment="1">
      <alignment horizontal="right"/>
    </xf>
    <xf numFmtId="0" fontId="8" fillId="2" borderId="0" xfId="0" applyFont="1" applyFill="1" applyAlignment="1">
      <alignment horizontal="right"/>
    </xf>
    <xf numFmtId="0" fontId="66" fillId="0" borderId="0" xfId="0" applyFont="1" applyAlignment="1">
      <alignment horizontal="right"/>
    </xf>
    <xf numFmtId="172" fontId="53" fillId="2" borderId="0" xfId="0" applyNumberFormat="1" applyFont="1" applyFill="1" applyAlignment="1">
      <alignment horizontal="right"/>
    </xf>
    <xf numFmtId="172" fontId="4" fillId="0" borderId="0" xfId="0" applyNumberFormat="1" applyFont="1" applyAlignment="1">
      <alignment horizontal="right"/>
    </xf>
    <xf numFmtId="172" fontId="50" fillId="0" borderId="0" xfId="0" applyNumberFormat="1" applyFont="1" applyAlignment="1">
      <alignment horizontal="right"/>
    </xf>
    <xf numFmtId="172" fontId="64" fillId="0" borderId="0" xfId="0" applyNumberFormat="1" applyFont="1" applyAlignment="1">
      <alignment horizontal="right"/>
    </xf>
    <xf numFmtId="172" fontId="65" fillId="2" borderId="0" xfId="0" applyNumberFormat="1" applyFont="1" applyFill="1" applyAlignment="1">
      <alignment horizontal="right"/>
    </xf>
    <xf numFmtId="172" fontId="6" fillId="0" borderId="0" xfId="0" applyNumberFormat="1" applyFont="1" applyAlignment="1">
      <alignment horizontal="right"/>
    </xf>
    <xf numFmtId="172" fontId="12" fillId="2" borderId="0" xfId="0" applyNumberFormat="1" applyFont="1" applyFill="1" applyAlignment="1">
      <alignment horizontal="right"/>
    </xf>
    <xf numFmtId="172" fontId="46" fillId="0" borderId="0" xfId="0" applyNumberFormat="1" applyFont="1" applyAlignment="1">
      <alignment horizontal="right"/>
    </xf>
    <xf numFmtId="172" fontId="47" fillId="2" borderId="0" xfId="0" applyNumberFormat="1" applyFont="1" applyFill="1" applyAlignment="1">
      <alignment horizontal="right"/>
    </xf>
    <xf numFmtId="166" fontId="66" fillId="0" borderId="0" xfId="0" applyNumberFormat="1" applyFont="1" applyAlignment="1">
      <alignment horizontal="right"/>
    </xf>
    <xf numFmtId="173" fontId="6" fillId="0" borderId="0" xfId="0" applyNumberFormat="1" applyFont="1" applyAlignment="1">
      <alignment horizontal="right"/>
    </xf>
    <xf numFmtId="9" fontId="3" fillId="2" borderId="0" xfId="3" applyFont="1" applyFill="1" applyAlignment="1">
      <alignment horizontal="right"/>
    </xf>
    <xf numFmtId="165" fontId="6" fillId="0" borderId="0" xfId="0" applyNumberFormat="1" applyFont="1" applyAlignment="1">
      <alignment horizontal="right"/>
    </xf>
    <xf numFmtId="165" fontId="6" fillId="0" borderId="5" xfId="0" applyNumberFormat="1" applyFont="1" applyBorder="1" applyAlignment="1">
      <alignment horizontal="right"/>
    </xf>
    <xf numFmtId="166" fontId="23" fillId="0" borderId="0" xfId="0" applyNumberFormat="1" applyFont="1" applyAlignment="1">
      <alignment horizontal="right"/>
    </xf>
    <xf numFmtId="0" fontId="72" fillId="0" borderId="0" xfId="0" applyFont="1" applyAlignment="1">
      <alignment horizontal="right"/>
    </xf>
    <xf numFmtId="164" fontId="38" fillId="0" borderId="0" xfId="0" applyNumberFormat="1" applyFont="1" applyAlignment="1">
      <alignment horizontal="right"/>
    </xf>
    <xf numFmtId="164" fontId="72" fillId="0" borderId="0" xfId="0" applyNumberFormat="1" applyFont="1" applyAlignment="1">
      <alignment horizontal="right"/>
    </xf>
    <xf numFmtId="172" fontId="72" fillId="0" borderId="0" xfId="0" applyNumberFormat="1" applyFont="1" applyAlignment="1">
      <alignment horizontal="right"/>
    </xf>
    <xf numFmtId="164" fontId="38" fillId="0" borderId="5" xfId="0" applyNumberFormat="1" applyFont="1" applyBorder="1" applyAlignment="1">
      <alignment horizontal="right"/>
    </xf>
    <xf numFmtId="169" fontId="41" fillId="0" borderId="0" xfId="0" applyNumberFormat="1" applyFont="1" applyAlignment="1">
      <alignment horizontal="right"/>
    </xf>
    <xf numFmtId="167" fontId="38" fillId="0" borderId="5" xfId="0" applyNumberFormat="1" applyFont="1" applyBorder="1" applyAlignment="1">
      <alignment horizontal="right"/>
    </xf>
    <xf numFmtId="164" fontId="72" fillId="0" borderId="27" xfId="0" applyNumberFormat="1" applyFont="1" applyBorder="1" applyAlignment="1">
      <alignment horizontal="right"/>
    </xf>
    <xf numFmtId="170" fontId="72" fillId="0" borderId="0" xfId="0" applyNumberFormat="1" applyFont="1" applyAlignment="1">
      <alignment horizontal="right"/>
    </xf>
    <xf numFmtId="164" fontId="22" fillId="0" borderId="0" xfId="0" applyNumberFormat="1" applyFont="1" applyAlignment="1">
      <alignment horizontal="right" vertical="center"/>
    </xf>
    <xf numFmtId="164" fontId="22" fillId="0" borderId="3" xfId="0" applyNumberFormat="1" applyFont="1" applyBorder="1" applyAlignment="1">
      <alignment horizontal="right" vertical="center"/>
    </xf>
    <xf numFmtId="164" fontId="68" fillId="0" borderId="0" xfId="0" applyNumberFormat="1" applyFont="1" applyAlignment="1">
      <alignment horizontal="right" vertical="center"/>
    </xf>
    <xf numFmtId="164" fontId="4" fillId="0" borderId="2" xfId="0" applyNumberFormat="1" applyFont="1" applyBorder="1" applyAlignment="1">
      <alignment horizontal="right" vertical="center"/>
    </xf>
    <xf numFmtId="164" fontId="22" fillId="0" borderId="2" xfId="0" applyNumberFormat="1" applyFont="1" applyBorder="1" applyAlignment="1">
      <alignment horizontal="right" vertical="center"/>
    </xf>
    <xf numFmtId="167" fontId="72" fillId="0" borderId="0" xfId="0" applyNumberFormat="1" applyFont="1" applyAlignment="1">
      <alignment horizontal="right"/>
    </xf>
    <xf numFmtId="167" fontId="73" fillId="0" borderId="0" xfId="0" applyNumberFormat="1" applyFont="1" applyAlignment="1">
      <alignment horizontal="right"/>
    </xf>
    <xf numFmtId="167" fontId="41" fillId="0" borderId="0" xfId="0" applyNumberFormat="1" applyFont="1" applyAlignment="1">
      <alignment horizontal="right"/>
    </xf>
    <xf numFmtId="168" fontId="72" fillId="0" borderId="0" xfId="0" applyNumberFormat="1" applyFont="1" applyAlignment="1">
      <alignment horizontal="right"/>
    </xf>
    <xf numFmtId="168" fontId="41" fillId="0" borderId="0" xfId="0" applyNumberFormat="1" applyFont="1" applyAlignment="1">
      <alignment horizontal="right"/>
    </xf>
    <xf numFmtId="164" fontId="22" fillId="0" borderId="1" xfId="0" applyNumberFormat="1" applyFont="1" applyBorder="1" applyAlignment="1">
      <alignment horizontal="right" vertical="center"/>
    </xf>
    <xf numFmtId="164" fontId="4" fillId="0" borderId="0" xfId="0" applyNumberFormat="1" applyFont="1" applyAlignment="1">
      <alignment horizontal="right"/>
    </xf>
    <xf numFmtId="164" fontId="31" fillId="0" borderId="0" xfId="0" applyNumberFormat="1" applyFont="1" applyAlignment="1">
      <alignment horizontal="right"/>
    </xf>
    <xf numFmtId="164" fontId="38" fillId="0" borderId="0" xfId="0" applyNumberFormat="1" applyFont="1" applyAlignment="1">
      <alignment horizontal="right" vertical="center"/>
    </xf>
    <xf numFmtId="168" fontId="38" fillId="0" borderId="0" xfId="0" applyNumberFormat="1" applyFont="1" applyAlignment="1">
      <alignment horizontal="right"/>
    </xf>
    <xf numFmtId="168" fontId="38" fillId="0" borderId="5" xfId="0" applyNumberFormat="1" applyFont="1" applyBorder="1" applyAlignment="1">
      <alignment horizontal="right"/>
    </xf>
    <xf numFmtId="9" fontId="38" fillId="0" borderId="13" xfId="6" applyFont="1" applyFill="1" applyBorder="1"/>
    <xf numFmtId="165" fontId="31" fillId="0" borderId="46" xfId="6" applyNumberFormat="1" applyFont="1" applyFill="1" applyBorder="1"/>
    <xf numFmtId="164" fontId="4" fillId="13" borderId="0" xfId="0" applyNumberFormat="1" applyFont="1" applyFill="1" applyAlignment="1">
      <alignment horizontal="right" vertical="center"/>
    </xf>
    <xf numFmtId="165" fontId="28" fillId="13" borderId="0" xfId="3" applyNumberFormat="1" applyFont="1" applyFill="1" applyBorder="1" applyAlignment="1">
      <alignment horizontal="right"/>
    </xf>
    <xf numFmtId="165" fontId="29" fillId="13" borderId="0" xfId="3" applyNumberFormat="1" applyFont="1" applyFill="1" applyBorder="1" applyAlignment="1" applyProtection="1">
      <alignment horizontal="right" vertical="center"/>
    </xf>
    <xf numFmtId="165" fontId="28" fillId="0" borderId="0" xfId="0" applyNumberFormat="1" applyFont="1" applyAlignment="1">
      <alignment horizontal="left" indent="3"/>
    </xf>
    <xf numFmtId="1" fontId="75" fillId="0" borderId="0" xfId="6" applyNumberFormat="1" applyFont="1" applyFill="1" applyBorder="1" applyAlignment="1">
      <alignment wrapText="1"/>
    </xf>
    <xf numFmtId="9" fontId="75" fillId="0" borderId="0" xfId="6" applyFont="1" applyFill="1" applyBorder="1"/>
    <xf numFmtId="172" fontId="26" fillId="0" borderId="0" xfId="0" applyNumberFormat="1" applyFont="1"/>
    <xf numFmtId="172" fontId="48" fillId="0" borderId="0" xfId="0" applyNumberFormat="1" applyFont="1"/>
    <xf numFmtId="164" fontId="3" fillId="0" borderId="0" xfId="0" applyNumberFormat="1" applyFont="1" applyAlignment="1">
      <alignment horizontal="right"/>
    </xf>
    <xf numFmtId="0" fontId="11" fillId="9" borderId="42" xfId="0" applyFont="1" applyFill="1" applyBorder="1" applyAlignment="1">
      <alignment vertical="top" wrapText="1"/>
    </xf>
    <xf numFmtId="0" fontId="11" fillId="9" borderId="1" xfId="0" applyFont="1" applyFill="1" applyBorder="1" applyAlignment="1">
      <alignment vertical="top" wrapText="1"/>
    </xf>
    <xf numFmtId="0" fontId="11" fillId="9" borderId="43" xfId="0" applyFont="1" applyFill="1" applyBorder="1" applyAlignment="1">
      <alignment wrapText="1"/>
    </xf>
    <xf numFmtId="0" fontId="47" fillId="17" borderId="0" xfId="0" applyFont="1" applyFill="1" applyAlignment="1">
      <alignment vertical="top" wrapText="1"/>
    </xf>
    <xf numFmtId="0" fontId="47" fillId="17" borderId="2" xfId="0" applyFont="1" applyFill="1" applyBorder="1" applyAlignment="1">
      <alignment vertical="top" wrapText="1"/>
    </xf>
    <xf numFmtId="0" fontId="78" fillId="4" borderId="0" xfId="0" applyFont="1" applyFill="1" applyAlignment="1">
      <alignment horizontal="left"/>
    </xf>
    <xf numFmtId="0" fontId="77" fillId="4" borderId="0" xfId="0" applyFont="1" applyFill="1" applyAlignment="1">
      <alignment horizontal="right"/>
    </xf>
    <xf numFmtId="164" fontId="78" fillId="4" borderId="0" xfId="0" applyNumberFormat="1" applyFont="1" applyFill="1" applyAlignment="1">
      <alignment horizontal="right"/>
    </xf>
    <xf numFmtId="3" fontId="79" fillId="13" borderId="0" xfId="2" applyFont="1" applyFill="1"/>
    <xf numFmtId="3" fontId="80" fillId="13" borderId="0" xfId="2" applyFont="1" applyFill="1"/>
    <xf numFmtId="3" fontId="80" fillId="13" borderId="0" xfId="2" applyFont="1" applyFill="1" applyAlignment="1">
      <alignment horizontal="right"/>
    </xf>
    <xf numFmtId="3" fontId="80" fillId="2" borderId="0" xfId="2" applyFont="1" applyFill="1" applyAlignment="1">
      <alignment horizontal="right"/>
    </xf>
    <xf numFmtId="3" fontId="81" fillId="13" borderId="0" xfId="2" applyFont="1" applyFill="1"/>
    <xf numFmtId="0" fontId="16" fillId="0" borderId="1" xfId="0" applyFont="1" applyBorder="1" applyAlignment="1">
      <alignment vertical="center"/>
    </xf>
    <xf numFmtId="0" fontId="14" fillId="0" borderId="0" xfId="0" applyFont="1" applyAlignment="1">
      <alignment vertical="center"/>
    </xf>
    <xf numFmtId="0" fontId="16" fillId="0" borderId="3" xfId="0" applyFont="1" applyBorder="1" applyAlignment="1">
      <alignment vertical="center"/>
    </xf>
    <xf numFmtId="0" fontId="16" fillId="0" borderId="0" xfId="0" applyFont="1" applyAlignment="1">
      <alignment vertical="center"/>
    </xf>
    <xf numFmtId="172" fontId="16" fillId="0" borderId="0" xfId="0" applyNumberFormat="1" applyFont="1"/>
    <xf numFmtId="172" fontId="16" fillId="2" borderId="0" xfId="0" applyNumberFormat="1" applyFont="1" applyFill="1" applyAlignment="1">
      <alignment horizontal="right"/>
    </xf>
    <xf numFmtId="172" fontId="82" fillId="2" borderId="0" xfId="0" applyNumberFormat="1" applyFont="1" applyFill="1" applyAlignment="1">
      <alignment horizontal="right"/>
    </xf>
    <xf numFmtId="164" fontId="83" fillId="0" borderId="0" xfId="0" applyNumberFormat="1" applyFont="1" applyAlignment="1">
      <alignment horizontal="left" indent="1"/>
    </xf>
    <xf numFmtId="164" fontId="84" fillId="0" borderId="0" xfId="0" applyNumberFormat="1" applyFont="1" applyAlignment="1">
      <alignment horizontal="right"/>
    </xf>
    <xf numFmtId="164" fontId="85" fillId="2" borderId="0" xfId="0" applyNumberFormat="1" applyFont="1" applyFill="1" applyAlignment="1">
      <alignment horizontal="right"/>
    </xf>
    <xf numFmtId="165" fontId="86" fillId="0" borderId="0" xfId="0" applyNumberFormat="1" applyFont="1"/>
    <xf numFmtId="0" fontId="87" fillId="17" borderId="2" xfId="0" applyFont="1" applyFill="1" applyBorder="1" applyAlignment="1">
      <alignment horizontal="left" indent="4"/>
    </xf>
    <xf numFmtId="0" fontId="88" fillId="17" borderId="2" xfId="0" applyFont="1" applyFill="1" applyBorder="1" applyAlignment="1">
      <alignment horizontal="left" indent="4"/>
    </xf>
    <xf numFmtId="0" fontId="89" fillId="17" borderId="2" xfId="0" applyFont="1" applyFill="1" applyBorder="1" applyAlignment="1">
      <alignment horizontal="left" indent="4"/>
    </xf>
    <xf numFmtId="164" fontId="90" fillId="4" borderId="0" xfId="0" applyNumberFormat="1" applyFont="1" applyFill="1" applyAlignment="1">
      <alignment horizontal="right"/>
    </xf>
    <xf numFmtId="9" fontId="6" fillId="0" borderId="0" xfId="3" applyFont="1" applyAlignment="1"/>
    <xf numFmtId="9" fontId="3" fillId="0" borderId="0" xfId="3" applyFont="1" applyAlignment="1"/>
    <xf numFmtId="9" fontId="6" fillId="0" borderId="0" xfId="3" applyFont="1" applyAlignment="1">
      <alignment horizontal="right"/>
    </xf>
    <xf numFmtId="9" fontId="3" fillId="0" borderId="0" xfId="3" applyFont="1" applyAlignment="1">
      <alignment horizontal="right"/>
    </xf>
    <xf numFmtId="0" fontId="11" fillId="17" borderId="0" xfId="0" applyFont="1" applyFill="1"/>
    <xf numFmtId="0" fontId="43" fillId="17" borderId="2" xfId="0" applyFont="1" applyFill="1" applyBorder="1" applyAlignment="1">
      <alignment horizontal="left" indent="4"/>
    </xf>
    <xf numFmtId="0" fontId="43" fillId="17" borderId="0" xfId="0" applyFont="1" applyFill="1" applyAlignment="1">
      <alignment horizontal="left" indent="4"/>
    </xf>
    <xf numFmtId="0" fontId="6" fillId="17" borderId="0" xfId="0" applyFont="1" applyFill="1"/>
    <xf numFmtId="0" fontId="6" fillId="17" borderId="0" xfId="0" applyFont="1" applyFill="1" applyAlignment="1">
      <alignment horizontal="right"/>
    </xf>
    <xf numFmtId="164" fontId="6" fillId="17" borderId="0" xfId="0" applyNumberFormat="1" applyFont="1" applyFill="1"/>
    <xf numFmtId="164" fontId="3" fillId="17" borderId="0" xfId="0" applyNumberFormat="1" applyFont="1" applyFill="1"/>
    <xf numFmtId="0" fontId="26" fillId="17" borderId="44" xfId="0" applyFont="1" applyFill="1" applyBorder="1" applyAlignment="1">
      <alignment vertical="top" wrapText="1"/>
    </xf>
    <xf numFmtId="0" fontId="76" fillId="17" borderId="44" xfId="0" applyFont="1" applyFill="1" applyBorder="1" applyAlignment="1">
      <alignment vertical="top" wrapText="1"/>
    </xf>
    <xf numFmtId="0" fontId="47" fillId="17" borderId="47" xfId="0" applyFont="1" applyFill="1" applyBorder="1" applyAlignment="1">
      <alignment vertical="top" wrapText="1"/>
    </xf>
    <xf numFmtId="0" fontId="12" fillId="17" borderId="0" xfId="0" applyFont="1" applyFill="1" applyAlignment="1">
      <alignment vertical="top" wrapText="1"/>
    </xf>
    <xf numFmtId="0" fontId="3" fillId="17" borderId="0" xfId="0" applyFont="1" applyFill="1" applyAlignment="1">
      <alignment wrapText="1"/>
    </xf>
    <xf numFmtId="164" fontId="6" fillId="17" borderId="0" xfId="0" applyNumberFormat="1" applyFont="1" applyFill="1" applyAlignment="1">
      <alignment vertical="top"/>
    </xf>
    <xf numFmtId="0" fontId="3" fillId="17" borderId="0" xfId="0" applyFont="1" applyFill="1" applyAlignment="1">
      <alignment vertical="top" wrapText="1"/>
    </xf>
    <xf numFmtId="165" fontId="4" fillId="0" borderId="0" xfId="1" applyNumberFormat="1" applyFont="1" applyFill="1" applyBorder="1" applyAlignment="1">
      <alignment horizontal="left" indent="1"/>
    </xf>
    <xf numFmtId="165" fontId="16" fillId="16" borderId="4" xfId="1" applyNumberFormat="1" applyFont="1" applyFill="1" applyBorder="1" applyAlignment="1">
      <alignment horizontal="right"/>
    </xf>
    <xf numFmtId="165" fontId="42" fillId="16" borderId="0" xfId="3" applyNumberFormat="1" applyFont="1" applyFill="1" applyBorder="1" applyAlignment="1">
      <alignment horizontal="right"/>
    </xf>
    <xf numFmtId="0" fontId="77" fillId="9" borderId="0" xfId="0" applyFont="1" applyFill="1" applyAlignment="1">
      <alignment horizontal="right"/>
    </xf>
    <xf numFmtId="164" fontId="90" fillId="9" borderId="0" xfId="0" applyNumberFormat="1" applyFont="1" applyFill="1" applyAlignment="1">
      <alignment horizontal="right"/>
    </xf>
    <xf numFmtId="164" fontId="78" fillId="9" borderId="0" xfId="0" applyNumberFormat="1" applyFont="1" applyFill="1" applyAlignment="1">
      <alignment horizontal="right"/>
    </xf>
    <xf numFmtId="0" fontId="78" fillId="6" borderId="0" xfId="0" applyFont="1" applyFill="1" applyAlignment="1">
      <alignment horizontal="left"/>
    </xf>
    <xf numFmtId="0" fontId="77" fillId="6" borderId="0" xfId="0" applyFont="1" applyFill="1" applyAlignment="1">
      <alignment horizontal="right"/>
    </xf>
    <xf numFmtId="164" fontId="90" fillId="6" borderId="0" xfId="0" applyNumberFormat="1" applyFont="1" applyFill="1" applyAlignment="1">
      <alignment horizontal="right"/>
    </xf>
    <xf numFmtId="164" fontId="78" fillId="6" borderId="0" xfId="0" applyNumberFormat="1" applyFont="1" applyFill="1" applyAlignment="1">
      <alignment horizontal="right"/>
    </xf>
    <xf numFmtId="3" fontId="22" fillId="19" borderId="0" xfId="2" applyFont="1" applyFill="1"/>
    <xf numFmtId="3" fontId="60" fillId="19" borderId="0" xfId="2" applyFont="1" applyFill="1"/>
    <xf numFmtId="3" fontId="61" fillId="19" borderId="0" xfId="2" applyFont="1" applyFill="1" applyAlignment="1">
      <alignment horizontal="right"/>
    </xf>
    <xf numFmtId="3" fontId="62" fillId="19" borderId="0" xfId="2" applyFont="1" applyFill="1"/>
    <xf numFmtId="3" fontId="61" fillId="19" borderId="0" xfId="2" applyFont="1" applyFill="1"/>
    <xf numFmtId="165" fontId="93" fillId="0" borderId="0" xfId="0" applyNumberFormat="1" applyFont="1" applyAlignment="1">
      <alignment horizontal="left" indent="2"/>
    </xf>
    <xf numFmtId="165" fontId="94" fillId="0" borderId="0" xfId="3" applyNumberFormat="1" applyFont="1" applyFill="1" applyBorder="1" applyAlignment="1">
      <alignment horizontal="right"/>
    </xf>
    <xf numFmtId="165" fontId="93" fillId="0" borderId="0" xfId="0" applyNumberFormat="1" applyFont="1"/>
    <xf numFmtId="165" fontId="96" fillId="0" borderId="0" xfId="0" applyNumberFormat="1" applyFont="1" applyAlignment="1">
      <alignment horizontal="left" indent="3"/>
    </xf>
    <xf numFmtId="165" fontId="97" fillId="0" borderId="0" xfId="0" applyNumberFormat="1" applyFont="1" applyAlignment="1">
      <alignment horizontal="left" indent="2"/>
    </xf>
    <xf numFmtId="165" fontId="96" fillId="0" borderId="0" xfId="3" applyNumberFormat="1" applyFont="1" applyFill="1" applyBorder="1" applyAlignment="1">
      <alignment horizontal="right"/>
    </xf>
    <xf numFmtId="165" fontId="96" fillId="0" borderId="0" xfId="3" applyNumberFormat="1" applyFont="1" applyFill="1" applyBorder="1" applyAlignment="1" applyProtection="1">
      <alignment horizontal="right" vertical="center"/>
      <protection locked="0"/>
    </xf>
    <xf numFmtId="165" fontId="98" fillId="2" borderId="0" xfId="3" applyNumberFormat="1" applyFont="1" applyFill="1" applyBorder="1" applyAlignment="1" applyProtection="1">
      <alignment horizontal="right" vertical="center"/>
      <protection locked="0"/>
    </xf>
    <xf numFmtId="165" fontId="97" fillId="0" borderId="0" xfId="0" applyNumberFormat="1" applyFont="1"/>
    <xf numFmtId="165" fontId="97" fillId="0" borderId="0" xfId="0" applyNumberFormat="1" applyFont="1" applyAlignment="1">
      <alignment horizontal="left" indent="3"/>
    </xf>
    <xf numFmtId="165" fontId="96" fillId="0" borderId="0" xfId="3" applyNumberFormat="1" applyFont="1" applyFill="1" applyBorder="1" applyAlignment="1" applyProtection="1">
      <alignment horizontal="right" vertical="center"/>
    </xf>
    <xf numFmtId="165" fontId="96" fillId="0" borderId="0" xfId="3" applyNumberFormat="1" applyFont="1" applyFill="1" applyBorder="1" applyAlignment="1" applyProtection="1">
      <alignment horizontal="right"/>
    </xf>
    <xf numFmtId="165" fontId="96" fillId="13" borderId="0" xfId="3" applyNumberFormat="1" applyFont="1" applyFill="1" applyBorder="1" applyAlignment="1">
      <alignment horizontal="right"/>
    </xf>
    <xf numFmtId="165" fontId="98" fillId="13" borderId="0" xfId="3" applyNumberFormat="1" applyFont="1" applyFill="1" applyBorder="1" applyAlignment="1" applyProtection="1">
      <alignment horizontal="right" vertical="center"/>
      <protection locked="0"/>
    </xf>
    <xf numFmtId="164" fontId="77" fillId="6" borderId="0" xfId="0" applyNumberFormat="1" applyFont="1" applyFill="1" applyAlignment="1">
      <alignment horizontal="right"/>
    </xf>
    <xf numFmtId="0" fontId="90" fillId="6" borderId="0" xfId="0" applyFont="1" applyFill="1" applyAlignment="1">
      <alignment horizontal="right"/>
    </xf>
    <xf numFmtId="166" fontId="99" fillId="0" borderId="0" xfId="0" applyNumberFormat="1" applyFont="1"/>
    <xf numFmtId="166" fontId="99" fillId="0" borderId="0" xfId="0" applyNumberFormat="1" applyFont="1" applyAlignment="1">
      <alignment horizontal="left" indent="4"/>
    </xf>
    <xf numFmtId="165" fontId="46" fillId="0" borderId="0" xfId="3" applyNumberFormat="1" applyFont="1" applyFill="1" applyBorder="1" applyAlignment="1">
      <alignment horizontal="right"/>
    </xf>
    <xf numFmtId="165" fontId="46" fillId="2" borderId="0" xfId="3" applyNumberFormat="1" applyFont="1" applyFill="1" applyBorder="1" applyAlignment="1">
      <alignment horizontal="right"/>
    </xf>
    <xf numFmtId="166" fontId="46" fillId="0" borderId="0" xfId="3" applyNumberFormat="1" applyFont="1" applyFill="1" applyBorder="1" applyAlignment="1">
      <alignment horizontal="right"/>
    </xf>
    <xf numFmtId="165" fontId="99" fillId="0" borderId="0" xfId="0" applyNumberFormat="1" applyFont="1"/>
    <xf numFmtId="165" fontId="99" fillId="0" borderId="0" xfId="0" applyNumberFormat="1" applyFont="1" applyAlignment="1">
      <alignment horizontal="left" indent="4"/>
    </xf>
    <xf numFmtId="165" fontId="93" fillId="0" borderId="0" xfId="0" applyNumberFormat="1" applyFont="1" applyAlignment="1">
      <alignment horizontal="left" indent="3"/>
    </xf>
    <xf numFmtId="165" fontId="94" fillId="13" borderId="0" xfId="3" applyNumberFormat="1" applyFont="1" applyFill="1" applyBorder="1" applyAlignment="1">
      <alignment horizontal="right"/>
    </xf>
    <xf numFmtId="165" fontId="94" fillId="0" borderId="0" xfId="3" applyNumberFormat="1" applyFont="1" applyFill="1" applyBorder="1" applyAlignment="1" applyProtection="1">
      <alignment horizontal="right" vertical="center"/>
      <protection locked="0"/>
    </xf>
    <xf numFmtId="165" fontId="96" fillId="13" borderId="0" xfId="3" applyNumberFormat="1" applyFont="1" applyFill="1" applyBorder="1" applyAlignment="1" applyProtection="1">
      <alignment horizontal="right" vertical="center"/>
      <protection locked="0"/>
    </xf>
    <xf numFmtId="9" fontId="96" fillId="0" borderId="0" xfId="3" applyFont="1" applyFill="1" applyBorder="1" applyAlignment="1" applyProtection="1">
      <alignment horizontal="right" vertical="center"/>
      <protection locked="0"/>
    </xf>
    <xf numFmtId="165" fontId="94" fillId="13" borderId="0" xfId="3" applyNumberFormat="1" applyFont="1" applyFill="1" applyBorder="1" applyAlignment="1" applyProtection="1">
      <alignment horizontal="right" vertical="center"/>
      <protection locked="0"/>
    </xf>
    <xf numFmtId="165" fontId="95" fillId="13" borderId="0" xfId="3" applyNumberFormat="1" applyFont="1" applyFill="1" applyBorder="1" applyAlignment="1" applyProtection="1">
      <alignment horizontal="right" vertical="center"/>
      <protection locked="0"/>
    </xf>
    <xf numFmtId="165" fontId="100" fillId="2" borderId="0" xfId="3" applyNumberFormat="1" applyFont="1" applyFill="1" applyBorder="1" applyAlignment="1" applyProtection="1">
      <alignment horizontal="right" vertical="center"/>
      <protection locked="0"/>
    </xf>
    <xf numFmtId="166" fontId="46" fillId="2" borderId="0" xfId="3" applyNumberFormat="1" applyFont="1" applyFill="1" applyBorder="1" applyAlignment="1">
      <alignment horizontal="right"/>
    </xf>
    <xf numFmtId="172" fontId="101" fillId="0" borderId="0" xfId="0" applyNumberFormat="1" applyFont="1" applyAlignment="1">
      <alignment horizontal="left" indent="1"/>
    </xf>
    <xf numFmtId="172" fontId="101" fillId="0" borderId="0" xfId="0" applyNumberFormat="1" applyFont="1"/>
    <xf numFmtId="172" fontId="102" fillId="0" borderId="0" xfId="0" applyNumberFormat="1" applyFont="1" applyAlignment="1">
      <alignment horizontal="right"/>
    </xf>
    <xf numFmtId="172" fontId="103" fillId="2" borderId="0" xfId="0" applyNumberFormat="1" applyFont="1" applyFill="1" applyAlignment="1">
      <alignment horizontal="right"/>
    </xf>
    <xf numFmtId="172" fontId="102" fillId="0" borderId="0" xfId="0" applyNumberFormat="1" applyFont="1"/>
    <xf numFmtId="172" fontId="104" fillId="0" borderId="0" xfId="0" applyNumberFormat="1" applyFont="1" applyAlignment="1">
      <alignment horizontal="left" indent="1"/>
    </xf>
    <xf numFmtId="172" fontId="104" fillId="0" borderId="0" xfId="0" applyNumberFormat="1" applyFont="1"/>
    <xf numFmtId="172" fontId="105" fillId="0" borderId="0" xfId="0" applyNumberFormat="1" applyFont="1" applyAlignment="1">
      <alignment horizontal="right"/>
    </xf>
    <xf numFmtId="172" fontId="24" fillId="2" borderId="0" xfId="0" applyNumberFormat="1" applyFont="1" applyFill="1" applyAlignment="1">
      <alignment horizontal="right"/>
    </xf>
    <xf numFmtId="172" fontId="105" fillId="0" borderId="0" xfId="0" applyNumberFormat="1" applyFont="1"/>
    <xf numFmtId="0" fontId="8" fillId="0" borderId="0" xfId="0" applyFont="1" applyAlignment="1">
      <alignment horizontal="right"/>
    </xf>
    <xf numFmtId="0" fontId="8" fillId="9" borderId="0" xfId="0" applyFont="1" applyFill="1"/>
    <xf numFmtId="164" fontId="9" fillId="9" borderId="0" xfId="0" applyNumberFormat="1" applyFont="1" applyFill="1"/>
    <xf numFmtId="164" fontId="10" fillId="9" borderId="0" xfId="0" applyNumberFormat="1" applyFont="1" applyFill="1"/>
    <xf numFmtId="164" fontId="9" fillId="9" borderId="0" xfId="0" applyNumberFormat="1" applyFont="1" applyFill="1" applyAlignment="1">
      <alignment horizontal="right"/>
    </xf>
    <xf numFmtId="164" fontId="10" fillId="9" borderId="0" xfId="0" applyNumberFormat="1" applyFont="1" applyFill="1" applyAlignment="1">
      <alignment horizontal="right"/>
    </xf>
    <xf numFmtId="3" fontId="10" fillId="15" borderId="0" xfId="2" applyFont="1" applyFill="1" applyAlignment="1">
      <alignment horizontal="left" indent="1"/>
    </xf>
    <xf numFmtId="3" fontId="10" fillId="15" borderId="0" xfId="2" applyFont="1" applyFill="1"/>
    <xf numFmtId="3" fontId="11" fillId="15" borderId="0" xfId="2" applyFont="1" applyFill="1"/>
    <xf numFmtId="3" fontId="10" fillId="15" borderId="0" xfId="2" applyFont="1" applyFill="1" applyAlignment="1">
      <alignment horizontal="right"/>
    </xf>
    <xf numFmtId="3" fontId="11" fillId="15" borderId="0" xfId="2" applyFont="1" applyFill="1" applyAlignment="1">
      <alignment horizontal="right"/>
    </xf>
    <xf numFmtId="3" fontId="10" fillId="4" borderId="0" xfId="2" applyFont="1" applyFill="1" applyAlignment="1">
      <alignment horizontal="left" indent="1"/>
    </xf>
    <xf numFmtId="3" fontId="10" fillId="4" borderId="0" xfId="2" applyFont="1" applyFill="1"/>
    <xf numFmtId="3" fontId="10" fillId="4" borderId="0" xfId="2" applyFont="1" applyFill="1" applyAlignment="1">
      <alignment horizontal="right"/>
    </xf>
    <xf numFmtId="3" fontId="10" fillId="12" borderId="0" xfId="2" applyFont="1" applyFill="1" applyAlignment="1">
      <alignment horizontal="left" indent="1"/>
    </xf>
    <xf numFmtId="3" fontId="10" fillId="12" borderId="0" xfId="2" applyFont="1" applyFill="1"/>
    <xf numFmtId="3" fontId="10" fillId="12" borderId="0" xfId="2" applyFont="1" applyFill="1" applyAlignment="1">
      <alignment horizontal="right"/>
    </xf>
    <xf numFmtId="3" fontId="10" fillId="6" borderId="0" xfId="2" applyFont="1" applyFill="1" applyAlignment="1">
      <alignment horizontal="left" indent="1"/>
    </xf>
    <xf numFmtId="3" fontId="10" fillId="6" borderId="0" xfId="2" applyFont="1" applyFill="1"/>
    <xf numFmtId="3" fontId="10" fillId="6" borderId="0" xfId="2" applyFont="1" applyFill="1" applyAlignment="1">
      <alignment horizontal="right"/>
    </xf>
    <xf numFmtId="0" fontId="3" fillId="16" borderId="0" xfId="0" applyFont="1" applyFill="1"/>
    <xf numFmtId="165" fontId="42" fillId="16" borderId="0" xfId="3" applyNumberFormat="1" applyFont="1" applyFill="1" applyBorder="1" applyAlignment="1" applyProtection="1">
      <alignment horizontal="right" vertical="center"/>
      <protection locked="0"/>
    </xf>
    <xf numFmtId="166" fontId="66" fillId="16" borderId="0" xfId="0" applyNumberFormat="1" applyFont="1" applyFill="1"/>
    <xf numFmtId="173" fontId="6" fillId="16" borderId="0" xfId="0" applyNumberFormat="1" applyFont="1" applyFill="1"/>
    <xf numFmtId="0" fontId="8" fillId="16" borderId="0" xfId="0" applyFont="1" applyFill="1"/>
    <xf numFmtId="9" fontId="3" fillId="16" borderId="0" xfId="3" applyFont="1" applyFill="1"/>
    <xf numFmtId="165" fontId="3" fillId="16" borderId="0" xfId="0" applyNumberFormat="1" applyFont="1" applyFill="1"/>
    <xf numFmtId="165" fontId="3" fillId="16" borderId="5" xfId="0" applyNumberFormat="1" applyFont="1" applyFill="1" applyBorder="1"/>
    <xf numFmtId="164" fontId="6" fillId="16" borderId="0" xfId="0" applyNumberFormat="1" applyFont="1" applyFill="1" applyAlignment="1">
      <alignment horizontal="right"/>
    </xf>
    <xf numFmtId="0" fontId="3" fillId="16" borderId="0" xfId="0" applyFont="1" applyFill="1" applyAlignment="1">
      <alignment horizontal="right"/>
    </xf>
    <xf numFmtId="166" fontId="66" fillId="16" borderId="0" xfId="0" applyNumberFormat="1" applyFont="1" applyFill="1" applyAlignment="1">
      <alignment horizontal="right"/>
    </xf>
    <xf numFmtId="173" fontId="6" fillId="16" borderId="0" xfId="0" applyNumberFormat="1" applyFont="1" applyFill="1" applyAlignment="1">
      <alignment horizontal="right"/>
    </xf>
    <xf numFmtId="0" fontId="8" fillId="16" borderId="0" xfId="0" applyFont="1" applyFill="1" applyAlignment="1">
      <alignment horizontal="right"/>
    </xf>
    <xf numFmtId="9" fontId="3" fillId="16" borderId="0" xfId="3" applyFont="1" applyFill="1" applyAlignment="1">
      <alignment horizontal="right"/>
    </xf>
    <xf numFmtId="165" fontId="3" fillId="16" borderId="0" xfId="0" applyNumberFormat="1" applyFont="1" applyFill="1" applyAlignment="1">
      <alignment horizontal="right"/>
    </xf>
    <xf numFmtId="165" fontId="3" fillId="16" borderId="5" xfId="0" applyNumberFormat="1" applyFont="1" applyFill="1" applyBorder="1" applyAlignment="1">
      <alignment horizontal="right"/>
    </xf>
    <xf numFmtId="3" fontId="1" fillId="20" borderId="0" xfId="2" applyFont="1" applyFill="1"/>
    <xf numFmtId="3" fontId="12" fillId="20" borderId="0" xfId="2" applyFont="1" applyFill="1"/>
    <xf numFmtId="3" fontId="1" fillId="20" borderId="0" xfId="2" applyFont="1" applyFill="1" applyAlignment="1">
      <alignment horizontal="right"/>
    </xf>
    <xf numFmtId="3" fontId="12" fillId="20" borderId="0" xfId="2" applyFont="1" applyFill="1" applyAlignment="1">
      <alignment horizontal="right"/>
    </xf>
    <xf numFmtId="0" fontId="106" fillId="17" borderId="2" xfId="0" applyFont="1" applyFill="1" applyBorder="1" applyAlignment="1">
      <alignment horizontal="left" indent="4"/>
    </xf>
    <xf numFmtId="0" fontId="107" fillId="17" borderId="2" xfId="0" applyFont="1" applyFill="1" applyBorder="1" applyAlignment="1">
      <alignment horizontal="left" indent="4"/>
    </xf>
    <xf numFmtId="0" fontId="108" fillId="17" borderId="2" xfId="0" applyFont="1" applyFill="1" applyBorder="1" applyAlignment="1">
      <alignment horizontal="left" indent="4"/>
    </xf>
    <xf numFmtId="9" fontId="52" fillId="0" borderId="0" xfId="6" applyFont="1" applyFill="1" applyBorder="1"/>
    <xf numFmtId="0" fontId="11" fillId="9" borderId="43" xfId="0" applyFont="1" applyFill="1" applyBorder="1" applyAlignment="1">
      <alignment vertical="top" wrapText="1"/>
    </xf>
    <xf numFmtId="0" fontId="11" fillId="10" borderId="44" xfId="0" applyFont="1" applyFill="1" applyBorder="1" applyAlignment="1">
      <alignment vertical="top" wrapText="1"/>
    </xf>
    <xf numFmtId="0" fontId="11" fillId="10" borderId="45" xfId="0" applyFont="1" applyFill="1" applyBorder="1" applyAlignment="1">
      <alignment vertical="top" wrapText="1"/>
    </xf>
    <xf numFmtId="0" fontId="11" fillId="6" borderId="0" xfId="0" applyFont="1" applyFill="1" applyAlignment="1">
      <alignment vertical="top"/>
    </xf>
    <xf numFmtId="0" fontId="11" fillId="6" borderId="0" xfId="0" applyFont="1" applyFill="1" applyAlignment="1">
      <alignment vertical="top" wrapText="1"/>
    </xf>
    <xf numFmtId="0" fontId="11" fillId="6" borderId="45" xfId="0" applyFont="1" applyFill="1" applyBorder="1" applyAlignment="1">
      <alignment wrapText="1"/>
    </xf>
    <xf numFmtId="0" fontId="11" fillId="21" borderId="0" xfId="0" applyFont="1" applyFill="1" applyAlignment="1">
      <alignment vertical="top"/>
    </xf>
    <xf numFmtId="0" fontId="11" fillId="21" borderId="0" xfId="0" applyFont="1" applyFill="1" applyAlignment="1">
      <alignment vertical="top" wrapText="1"/>
    </xf>
    <xf numFmtId="0" fontId="11" fillId="21" borderId="45" xfId="0" applyFont="1" applyFill="1" applyBorder="1" applyAlignment="1">
      <alignment wrapText="1"/>
    </xf>
    <xf numFmtId="0" fontId="24" fillId="17" borderId="0" xfId="0" applyFont="1" applyFill="1" applyAlignment="1">
      <alignment vertical="top" wrapText="1"/>
    </xf>
    <xf numFmtId="0" fontId="24" fillId="17" borderId="45" xfId="0" applyFont="1" applyFill="1" applyBorder="1" applyAlignment="1">
      <alignment wrapText="1"/>
    </xf>
    <xf numFmtId="0" fontId="24" fillId="17" borderId="2" xfId="0" applyFont="1" applyFill="1" applyBorder="1" applyAlignment="1">
      <alignment vertical="top" wrapText="1"/>
    </xf>
    <xf numFmtId="0" fontId="24" fillId="17" borderId="48" xfId="0" applyFont="1" applyFill="1" applyBorder="1" applyAlignment="1">
      <alignment vertical="top" wrapText="1"/>
    </xf>
    <xf numFmtId="0" fontId="16" fillId="17" borderId="0" xfId="0" applyFont="1" applyFill="1" applyAlignment="1">
      <alignment vertical="center"/>
    </xf>
    <xf numFmtId="0" fontId="14" fillId="17" borderId="45" xfId="0" applyFont="1" applyFill="1" applyBorder="1" applyAlignment="1">
      <alignment vertical="center"/>
    </xf>
    <xf numFmtId="0" fontId="14" fillId="17" borderId="0" xfId="0" applyFont="1" applyFill="1" applyAlignment="1">
      <alignment vertical="center"/>
    </xf>
    <xf numFmtId="0" fontId="103" fillId="17" borderId="44" xfId="0" applyFont="1" applyFill="1" applyBorder="1" applyAlignment="1">
      <alignment vertical="top" wrapText="1"/>
    </xf>
    <xf numFmtId="0" fontId="65" fillId="17" borderId="0" xfId="0" applyFont="1" applyFill="1" applyAlignment="1">
      <alignment vertical="top" wrapText="1"/>
    </xf>
    <xf numFmtId="164" fontId="72" fillId="0" borderId="0" xfId="0" applyNumberFormat="1" applyFont="1" applyAlignment="1">
      <alignment horizontal="right" vertical="center"/>
    </xf>
    <xf numFmtId="171" fontId="35" fillId="15" borderId="0" xfId="6" applyNumberFormat="1" applyFont="1" applyFill="1" applyAlignment="1">
      <alignment textRotation="90"/>
    </xf>
    <xf numFmtId="171" fontId="31" fillId="4" borderId="0" xfId="6" applyNumberFormat="1" applyFont="1" applyFill="1"/>
    <xf numFmtId="171" fontId="109" fillId="15" borderId="0" xfId="6" applyNumberFormat="1" applyFont="1" applyFill="1"/>
    <xf numFmtId="171" fontId="35" fillId="6" borderId="0" xfId="6" applyNumberFormat="1" applyFont="1" applyFill="1" applyAlignment="1">
      <alignment textRotation="90"/>
    </xf>
    <xf numFmtId="171" fontId="110" fillId="6" borderId="0" xfId="6" applyNumberFormat="1" applyFont="1" applyFill="1"/>
    <xf numFmtId="171" fontId="49" fillId="9" borderId="0" xfId="6" applyNumberFormat="1" applyFont="1" applyFill="1"/>
    <xf numFmtId="171" fontId="35" fillId="22" borderId="0" xfId="6" applyNumberFormat="1" applyFont="1" applyFill="1" applyAlignment="1">
      <alignment horizontal="center" textRotation="90"/>
    </xf>
    <xf numFmtId="171" fontId="111" fillId="22" borderId="0" xfId="6" applyNumberFormat="1" applyFont="1" applyFill="1"/>
    <xf numFmtId="171" fontId="31" fillId="23" borderId="0" xfId="6" applyNumberFormat="1" applyFont="1" applyFill="1"/>
    <xf numFmtId="171" fontId="35" fillId="23" borderId="0" xfId="6" applyNumberFormat="1" applyFont="1" applyFill="1" applyAlignment="1">
      <alignment horizontal="center" textRotation="90"/>
    </xf>
    <xf numFmtId="171" fontId="31" fillId="24" borderId="0" xfId="6" applyNumberFormat="1" applyFont="1" applyFill="1"/>
    <xf numFmtId="171" fontId="112" fillId="24" borderId="0" xfId="6" applyNumberFormat="1" applyFont="1" applyFill="1" applyAlignment="1">
      <alignment horizontal="center" textRotation="90"/>
    </xf>
    <xf numFmtId="171" fontId="32" fillId="25" borderId="0" xfId="6" applyNumberFormat="1" applyFont="1" applyFill="1"/>
    <xf numFmtId="171" fontId="36" fillId="25" borderId="0" xfId="6" applyNumberFormat="1" applyFont="1" applyFill="1" applyAlignment="1">
      <alignment horizontal="center" textRotation="90"/>
    </xf>
    <xf numFmtId="1" fontId="68" fillId="26" borderId="0" xfId="6" applyNumberFormat="1" applyFont="1" applyFill="1" applyAlignment="1">
      <alignment wrapText="1"/>
    </xf>
    <xf numFmtId="171" fontId="31" fillId="26" borderId="0" xfId="6" applyNumberFormat="1" applyFont="1" applyFill="1"/>
    <xf numFmtId="171" fontId="35" fillId="26" borderId="0" xfId="6" applyNumberFormat="1" applyFont="1" applyFill="1" applyAlignment="1">
      <alignment horizontal="center" textRotation="90"/>
    </xf>
    <xf numFmtId="1" fontId="68" fillId="5" borderId="0" xfId="6" applyNumberFormat="1" applyFont="1" applyFill="1" applyAlignment="1">
      <alignment wrapText="1"/>
    </xf>
    <xf numFmtId="171" fontId="35" fillId="5" borderId="0" xfId="6" applyNumberFormat="1" applyFont="1" applyFill="1" applyAlignment="1">
      <alignment horizontal="center" textRotation="90"/>
    </xf>
    <xf numFmtId="1" fontId="68" fillId="27" borderId="0" xfId="6" applyNumberFormat="1" applyFont="1" applyFill="1" applyAlignment="1">
      <alignment wrapText="1"/>
    </xf>
    <xf numFmtId="171" fontId="31" fillId="27" borderId="0" xfId="6" applyNumberFormat="1" applyFont="1" applyFill="1"/>
    <xf numFmtId="171" fontId="35" fillId="27" borderId="0" xfId="6" applyNumberFormat="1" applyFont="1" applyFill="1" applyAlignment="1">
      <alignment horizontal="right" textRotation="90"/>
    </xf>
    <xf numFmtId="171" fontId="31" fillId="22" borderId="0" xfId="6" applyNumberFormat="1" applyFont="1" applyFill="1"/>
    <xf numFmtId="171" fontId="35" fillId="22" borderId="0" xfId="6" applyNumberFormat="1" applyFont="1" applyFill="1" applyAlignment="1">
      <alignment textRotation="90"/>
    </xf>
    <xf numFmtId="171" fontId="113" fillId="28" borderId="0" xfId="6" applyNumberFormat="1" applyFont="1" applyFill="1"/>
    <xf numFmtId="171" fontId="114" fillId="28" borderId="0" xfId="6" applyNumberFormat="1" applyFont="1" applyFill="1" applyAlignment="1">
      <alignment textRotation="90"/>
    </xf>
    <xf numFmtId="171" fontId="115" fillId="11" borderId="0" xfId="6" applyNumberFormat="1" applyFont="1" applyFill="1"/>
    <xf numFmtId="171" fontId="112" fillId="11" borderId="0" xfId="6" applyNumberFormat="1" applyFont="1" applyFill="1" applyAlignment="1">
      <alignment textRotation="90"/>
    </xf>
    <xf numFmtId="0" fontId="4" fillId="0" borderId="0" xfId="0" applyFont="1" applyAlignment="1">
      <alignment vertical="center"/>
    </xf>
    <xf numFmtId="164" fontId="4" fillId="0" borderId="0" xfId="0" applyNumberFormat="1" applyFont="1" applyAlignment="1">
      <alignment vertical="center"/>
    </xf>
    <xf numFmtId="0" fontId="14" fillId="0" borderId="3" xfId="0" applyFont="1" applyBorder="1" applyAlignment="1">
      <alignment vertical="center"/>
    </xf>
    <xf numFmtId="0" fontId="4" fillId="0" borderId="3" xfId="0" applyFont="1" applyBorder="1" applyAlignment="1">
      <alignment vertical="center"/>
    </xf>
    <xf numFmtId="164" fontId="22" fillId="0" borderId="29" xfId="0" applyNumberFormat="1" applyFont="1" applyBorder="1" applyAlignment="1">
      <alignment horizontal="right" vertical="center"/>
    </xf>
    <xf numFmtId="164" fontId="16" fillId="2" borderId="3" xfId="0" applyNumberFormat="1" applyFont="1" applyFill="1" applyBorder="1" applyAlignment="1">
      <alignment horizontal="right" vertical="center"/>
    </xf>
    <xf numFmtId="0" fontId="22" fillId="0" borderId="0" xfId="0" applyFont="1" applyAlignment="1">
      <alignment vertical="center"/>
    </xf>
    <xf numFmtId="164" fontId="16" fillId="2" borderId="0" xfId="0" applyNumberFormat="1" applyFont="1" applyFill="1" applyAlignment="1">
      <alignment horizontal="right" vertical="center"/>
    </xf>
    <xf numFmtId="164" fontId="42" fillId="2" borderId="0" xfId="0" applyNumberFormat="1" applyFont="1" applyFill="1" applyAlignment="1">
      <alignment horizontal="right" vertical="center"/>
    </xf>
    <xf numFmtId="164" fontId="68" fillId="0" borderId="0" xfId="0" applyNumberFormat="1" applyFont="1" applyAlignment="1">
      <alignment vertical="center"/>
    </xf>
    <xf numFmtId="0" fontId="14" fillId="0" borderId="2" xfId="0" applyFont="1" applyBorder="1" applyAlignment="1">
      <alignment vertical="center"/>
    </xf>
    <xf numFmtId="0" fontId="4" fillId="0" borderId="2" xfId="0" applyFont="1" applyBorder="1" applyAlignment="1">
      <alignment vertical="center"/>
    </xf>
    <xf numFmtId="164" fontId="14" fillId="2" borderId="2" xfId="0" applyNumberFormat="1" applyFont="1" applyFill="1" applyBorder="1" applyAlignment="1">
      <alignment horizontal="right" vertical="center"/>
    </xf>
    <xf numFmtId="164" fontId="14" fillId="2" borderId="0" xfId="0" applyNumberFormat="1" applyFont="1" applyFill="1" applyAlignment="1">
      <alignment horizontal="right"/>
    </xf>
    <xf numFmtId="0" fontId="22" fillId="0" borderId="3" xfId="0" applyFont="1" applyBorder="1" applyAlignment="1">
      <alignment vertical="center"/>
    </xf>
    <xf numFmtId="0" fontId="4" fillId="0" borderId="0" xfId="0" applyFont="1"/>
    <xf numFmtId="0" fontId="25" fillId="0" borderId="2" xfId="0" applyFont="1" applyBorder="1" applyAlignment="1">
      <alignment vertical="center"/>
    </xf>
    <xf numFmtId="0" fontId="25" fillId="0" borderId="0" xfId="0" applyFont="1" applyAlignment="1">
      <alignment vertical="center"/>
    </xf>
    <xf numFmtId="0" fontId="22" fillId="0" borderId="1" xfId="0" applyFont="1" applyBorder="1" applyAlignment="1">
      <alignment vertical="center"/>
    </xf>
    <xf numFmtId="164" fontId="16" fillId="2" borderId="1" xfId="0" applyNumberFormat="1" applyFont="1" applyFill="1" applyBorder="1" applyAlignment="1">
      <alignment horizontal="right" vertical="center"/>
    </xf>
    <xf numFmtId="0" fontId="22" fillId="0" borderId="2" xfId="0" applyFont="1" applyBorder="1" applyAlignment="1">
      <alignment vertical="center"/>
    </xf>
    <xf numFmtId="164" fontId="16" fillId="2" borderId="2" xfId="0" applyNumberFormat="1" applyFont="1" applyFill="1" applyBorder="1" applyAlignment="1">
      <alignment horizontal="right" vertical="center"/>
    </xf>
    <xf numFmtId="164" fontId="4" fillId="2" borderId="0" xfId="0" applyNumberFormat="1" applyFont="1" applyFill="1" applyAlignment="1">
      <alignment horizontal="right"/>
    </xf>
    <xf numFmtId="0" fontId="14" fillId="0" borderId="0" xfId="0" applyFont="1" applyAlignment="1">
      <alignment horizontal="right"/>
    </xf>
    <xf numFmtId="0" fontId="14" fillId="2" borderId="0" xfId="0" applyFont="1" applyFill="1" applyAlignment="1">
      <alignment horizontal="right"/>
    </xf>
    <xf numFmtId="170" fontId="14" fillId="0" borderId="0" xfId="0" applyNumberFormat="1" applyFont="1"/>
    <xf numFmtId="0" fontId="72" fillId="0" borderId="0" xfId="0" applyFont="1"/>
    <xf numFmtId="0" fontId="16" fillId="0" borderId="0" xfId="0" applyFont="1"/>
    <xf numFmtId="164" fontId="14" fillId="0" borderId="0" xfId="0" applyNumberFormat="1" applyFont="1" applyAlignment="1">
      <alignment horizontal="left" indent="1"/>
    </xf>
    <xf numFmtId="164" fontId="72" fillId="0" borderId="0" xfId="0" applyNumberFormat="1" applyFont="1"/>
    <xf numFmtId="0" fontId="16" fillId="0" borderId="5" xfId="0" applyFont="1" applyBorder="1"/>
    <xf numFmtId="168" fontId="16" fillId="2" borderId="5" xfId="0" applyNumberFormat="1" applyFont="1" applyFill="1" applyBorder="1" applyAlignment="1">
      <alignment horizontal="right"/>
    </xf>
    <xf numFmtId="164" fontId="16" fillId="0" borderId="0" xfId="0" applyNumberFormat="1" applyFont="1"/>
    <xf numFmtId="168" fontId="16" fillId="0" borderId="0" xfId="0" applyNumberFormat="1" applyFont="1"/>
    <xf numFmtId="168" fontId="16" fillId="2" borderId="0" xfId="0" applyNumberFormat="1" applyFont="1" applyFill="1" applyAlignment="1">
      <alignment horizontal="right"/>
    </xf>
    <xf numFmtId="173" fontId="72" fillId="0" borderId="0" xfId="3" applyNumberFormat="1" applyFont="1" applyFill="1" applyAlignment="1">
      <alignment horizontal="right"/>
    </xf>
    <xf numFmtId="168" fontId="42" fillId="0" borderId="0" xfId="0" applyNumberFormat="1" applyFont="1"/>
    <xf numFmtId="168" fontId="42" fillId="0" borderId="0" xfId="0" quotePrefix="1" applyNumberFormat="1" applyFont="1" applyAlignment="1">
      <alignment horizontal="left" indent="2"/>
    </xf>
    <xf numFmtId="168" fontId="42" fillId="2" borderId="0" xfId="0" applyNumberFormat="1" applyFont="1" applyFill="1" applyAlignment="1">
      <alignment horizontal="right"/>
    </xf>
    <xf numFmtId="168" fontId="41" fillId="0" borderId="0" xfId="0" applyNumberFormat="1" applyFont="1"/>
    <xf numFmtId="168" fontId="14" fillId="0" borderId="0" xfId="0" applyNumberFormat="1" applyFont="1"/>
    <xf numFmtId="168" fontId="14" fillId="0" borderId="0" xfId="0" quotePrefix="1" applyNumberFormat="1" applyFont="1" applyAlignment="1">
      <alignment horizontal="left" indent="2"/>
    </xf>
    <xf numFmtId="168" fontId="14" fillId="2" borderId="0" xfId="0" applyNumberFormat="1" applyFont="1" applyFill="1" applyAlignment="1">
      <alignment horizontal="right"/>
    </xf>
    <xf numFmtId="168" fontId="72" fillId="0" borderId="0" xfId="0" applyNumberFormat="1" applyFont="1"/>
    <xf numFmtId="166" fontId="72" fillId="0" borderId="0" xfId="0" applyNumberFormat="1" applyFont="1" applyAlignment="1">
      <alignment horizontal="left" indent="1"/>
    </xf>
    <xf numFmtId="166" fontId="72" fillId="0" borderId="0" xfId="0" applyNumberFormat="1" applyFont="1" applyAlignment="1">
      <alignment horizontal="right"/>
    </xf>
    <xf numFmtId="166" fontId="72" fillId="2" borderId="0" xfId="0" applyNumberFormat="1" applyFont="1" applyFill="1" applyAlignment="1">
      <alignment horizontal="right"/>
    </xf>
    <xf numFmtId="166" fontId="72" fillId="0" borderId="0" xfId="0" applyNumberFormat="1" applyFont="1"/>
    <xf numFmtId="166" fontId="38" fillId="0" borderId="5" xfId="3" applyNumberFormat="1" applyFont="1" applyFill="1" applyBorder="1" applyAlignment="1">
      <alignment horizontal="right"/>
    </xf>
    <xf numFmtId="166" fontId="16" fillId="2" borderId="5" xfId="3" applyNumberFormat="1" applyFont="1" applyFill="1" applyBorder="1" applyAlignment="1">
      <alignment horizontal="right"/>
    </xf>
    <xf numFmtId="173" fontId="38" fillId="0" borderId="5" xfId="0" applyNumberFormat="1" applyFont="1" applyBorder="1"/>
    <xf numFmtId="0" fontId="41" fillId="0" borderId="0" xfId="0" applyFont="1"/>
    <xf numFmtId="169" fontId="41" fillId="2" borderId="0" xfId="0" applyNumberFormat="1" applyFont="1" applyFill="1" applyAlignment="1">
      <alignment horizontal="right"/>
    </xf>
    <xf numFmtId="0" fontId="41" fillId="0" borderId="0" xfId="0" applyFont="1" applyAlignment="1">
      <alignment horizontal="right"/>
    </xf>
    <xf numFmtId="164" fontId="42" fillId="0" borderId="0" xfId="0" applyNumberFormat="1" applyFont="1" applyAlignment="1">
      <alignment horizontal="left"/>
    </xf>
    <xf numFmtId="164" fontId="42" fillId="0" borderId="0" xfId="0" applyNumberFormat="1" applyFont="1" applyAlignment="1">
      <alignment horizontal="left" indent="2"/>
    </xf>
    <xf numFmtId="167" fontId="16" fillId="0" borderId="5" xfId="0" applyNumberFormat="1" applyFont="1" applyBorder="1"/>
    <xf numFmtId="167" fontId="16" fillId="2" borderId="5" xfId="0" applyNumberFormat="1" applyFont="1" applyFill="1" applyBorder="1" applyAlignment="1">
      <alignment horizontal="right"/>
    </xf>
    <xf numFmtId="164" fontId="16" fillId="2" borderId="5" xfId="0" applyNumberFormat="1" applyFont="1" applyFill="1" applyBorder="1" applyAlignment="1">
      <alignment horizontal="right"/>
    </xf>
    <xf numFmtId="167" fontId="16" fillId="0" borderId="0" xfId="0" applyNumberFormat="1" applyFont="1"/>
    <xf numFmtId="167" fontId="14" fillId="0" borderId="0" xfId="0" applyNumberFormat="1" applyFont="1" applyAlignment="1">
      <alignment horizontal="left" indent="1"/>
    </xf>
    <xf numFmtId="167" fontId="14" fillId="2" borderId="0" xfId="0" applyNumberFormat="1" applyFont="1" applyFill="1" applyAlignment="1">
      <alignment horizontal="right"/>
    </xf>
    <xf numFmtId="167" fontId="72" fillId="0" borderId="0" xfId="0" applyNumberFormat="1" applyFont="1"/>
    <xf numFmtId="167" fontId="14" fillId="0" borderId="0" xfId="0" applyNumberFormat="1" applyFont="1"/>
    <xf numFmtId="167" fontId="73" fillId="0" borderId="0" xfId="0" applyNumberFormat="1" applyFont="1" applyAlignment="1">
      <alignment horizontal="left" indent="3"/>
    </xf>
    <xf numFmtId="167" fontId="73" fillId="0" borderId="0" xfId="0" applyNumberFormat="1" applyFont="1" applyAlignment="1">
      <alignment horizontal="left" indent="1"/>
    </xf>
    <xf numFmtId="167" fontId="73" fillId="2" borderId="0" xfId="0" applyNumberFormat="1" applyFont="1" applyFill="1" applyAlignment="1">
      <alignment horizontal="right"/>
    </xf>
    <xf numFmtId="167" fontId="73" fillId="0" borderId="0" xfId="0" applyNumberFormat="1" applyFont="1"/>
    <xf numFmtId="167" fontId="42" fillId="0" borderId="0" xfId="0" applyNumberFormat="1" applyFont="1"/>
    <xf numFmtId="167" fontId="42" fillId="2" borderId="0" xfId="0" applyNumberFormat="1" applyFont="1" applyFill="1" applyAlignment="1">
      <alignment horizontal="right"/>
    </xf>
    <xf numFmtId="167" fontId="41" fillId="0" borderId="0" xfId="0" applyNumberFormat="1" applyFont="1"/>
    <xf numFmtId="164" fontId="42" fillId="0" borderId="0" xfId="0" applyNumberFormat="1" applyFont="1"/>
    <xf numFmtId="167" fontId="38" fillId="0" borderId="5" xfId="0" applyNumberFormat="1" applyFont="1" applyBorder="1"/>
    <xf numFmtId="166" fontId="117" fillId="0" borderId="0" xfId="0" applyNumberFormat="1" applyFont="1" applyAlignment="1">
      <alignment horizontal="left" indent="1"/>
    </xf>
    <xf numFmtId="0" fontId="118" fillId="0" borderId="5" xfId="0" applyFont="1" applyBorder="1"/>
    <xf numFmtId="165" fontId="68" fillId="2" borderId="0" xfId="3" applyNumberFormat="1" applyFont="1" applyFill="1" applyBorder="1" applyAlignment="1">
      <alignment horizontal="right"/>
    </xf>
    <xf numFmtId="165" fontId="4" fillId="2" borderId="0" xfId="3" applyNumberFormat="1" applyFont="1" applyFill="1" applyBorder="1" applyAlignment="1">
      <alignment horizontal="right"/>
    </xf>
    <xf numFmtId="164" fontId="16" fillId="0" borderId="5" xfId="0" applyNumberFormat="1" applyFont="1" applyBorder="1"/>
    <xf numFmtId="164" fontId="38" fillId="0" borderId="5" xfId="0" applyNumberFormat="1" applyFont="1" applyBorder="1"/>
    <xf numFmtId="164" fontId="14" fillId="0" borderId="27" xfId="0" applyNumberFormat="1" applyFont="1" applyBorder="1" applyAlignment="1">
      <alignment horizontal="left" indent="1"/>
    </xf>
    <xf numFmtId="164" fontId="14" fillId="2" borderId="27" xfId="0" applyNumberFormat="1" applyFont="1" applyFill="1" applyBorder="1" applyAlignment="1">
      <alignment horizontal="right"/>
    </xf>
    <xf numFmtId="164" fontId="72" fillId="0" borderId="27" xfId="0" applyNumberFormat="1" applyFont="1" applyBorder="1"/>
    <xf numFmtId="0" fontId="14" fillId="0" borderId="0" xfId="0" applyFont="1" applyAlignment="1">
      <alignment horizontal="left" indent="1"/>
    </xf>
    <xf numFmtId="164" fontId="16" fillId="0" borderId="0" xfId="0" applyNumberFormat="1" applyFont="1" applyAlignment="1">
      <alignment horizontal="left"/>
    </xf>
    <xf numFmtId="164" fontId="16" fillId="2" borderId="0" xfId="0" applyNumberFormat="1" applyFont="1" applyFill="1" applyAlignment="1">
      <alignment horizontal="right"/>
    </xf>
    <xf numFmtId="172" fontId="14" fillId="2" borderId="0" xfId="0" applyNumberFormat="1" applyFont="1" applyFill="1" applyAlignment="1">
      <alignment horizontal="right"/>
    </xf>
    <xf numFmtId="172" fontId="72" fillId="0" borderId="0" xfId="0" applyNumberFormat="1" applyFont="1"/>
    <xf numFmtId="165" fontId="41" fillId="0" borderId="0" xfId="3" applyNumberFormat="1" applyFont="1" applyFill="1" applyBorder="1" applyAlignment="1" applyProtection="1">
      <alignment horizontal="right"/>
    </xf>
    <xf numFmtId="164" fontId="38" fillId="0" borderId="0" xfId="0" applyNumberFormat="1" applyFont="1"/>
    <xf numFmtId="165" fontId="98" fillId="2" borderId="0" xfId="3" applyNumberFormat="1" applyFont="1" applyFill="1" applyBorder="1" applyAlignment="1">
      <alignment horizontal="right"/>
    </xf>
    <xf numFmtId="0" fontId="47" fillId="0" borderId="0" xfId="0" applyFont="1" applyAlignment="1">
      <alignment vertical="center"/>
    </xf>
    <xf numFmtId="164" fontId="22" fillId="2" borderId="0" xfId="0" applyNumberFormat="1" applyFont="1" applyFill="1" applyAlignment="1">
      <alignment horizontal="right" vertical="center"/>
    </xf>
    <xf numFmtId="164" fontId="38" fillId="0" borderId="0" xfId="0" applyNumberFormat="1" applyFont="1" applyAlignment="1">
      <alignment vertical="center"/>
    </xf>
    <xf numFmtId="0" fontId="14" fillId="0" borderId="1" xfId="0" applyFont="1" applyBorder="1" applyAlignment="1">
      <alignment vertical="center"/>
    </xf>
    <xf numFmtId="0" fontId="4" fillId="0" borderId="1" xfId="0" applyFont="1" applyBorder="1" applyAlignment="1">
      <alignment vertical="center"/>
    </xf>
    <xf numFmtId="164" fontId="38" fillId="0" borderId="1" xfId="0" applyNumberFormat="1" applyFont="1" applyBorder="1" applyAlignment="1">
      <alignment horizontal="right" vertical="center"/>
    </xf>
    <xf numFmtId="164" fontId="72" fillId="0" borderId="2" xfId="0" applyNumberFormat="1" applyFont="1" applyBorder="1" applyAlignment="1">
      <alignment horizontal="right" vertical="center"/>
    </xf>
    <xf numFmtId="164" fontId="38" fillId="0" borderId="2" xfId="0" applyNumberFormat="1" applyFont="1" applyBorder="1" applyAlignment="1">
      <alignment horizontal="right" vertical="center"/>
    </xf>
    <xf numFmtId="164" fontId="38" fillId="0" borderId="3" xfId="0" applyNumberFormat="1" applyFont="1" applyBorder="1" applyAlignment="1">
      <alignment horizontal="right" vertical="center"/>
    </xf>
    <xf numFmtId="0" fontId="31" fillId="0" borderId="0" xfId="0" applyFont="1"/>
    <xf numFmtId="164" fontId="31" fillId="2" borderId="0" xfId="0" applyNumberFormat="1" applyFont="1" applyFill="1" applyAlignment="1">
      <alignment horizontal="right"/>
    </xf>
    <xf numFmtId="164" fontId="31" fillId="0" borderId="0" xfId="0" applyNumberFormat="1" applyFont="1"/>
    <xf numFmtId="0" fontId="31" fillId="0" borderId="0" xfId="0" applyFont="1" applyAlignment="1">
      <alignment horizontal="left" vertical="center"/>
    </xf>
    <xf numFmtId="0" fontId="31" fillId="0" borderId="0" xfId="0" applyFont="1" applyAlignment="1">
      <alignment horizontal="right" vertical="center"/>
    </xf>
    <xf numFmtId="0" fontId="31" fillId="0" borderId="0" xfId="0" applyFont="1" applyAlignment="1">
      <alignment horizontal="right"/>
    </xf>
    <xf numFmtId="0" fontId="16" fillId="17" borderId="51" xfId="0" applyFont="1" applyFill="1" applyBorder="1" applyAlignment="1">
      <alignment vertical="top" wrapText="1"/>
    </xf>
    <xf numFmtId="0" fontId="14" fillId="17" borderId="52" xfId="0" applyFont="1" applyFill="1" applyBorder="1" applyAlignment="1">
      <alignment vertical="top" wrapText="1"/>
    </xf>
    <xf numFmtId="0" fontId="16" fillId="17" borderId="53" xfId="0" applyFont="1" applyFill="1" applyBorder="1" applyAlignment="1">
      <alignment vertical="top" wrapText="1"/>
    </xf>
    <xf numFmtId="0" fontId="14" fillId="17" borderId="54" xfId="0" applyFont="1" applyFill="1" applyBorder="1" applyAlignment="1">
      <alignment vertical="top" wrapText="1"/>
    </xf>
    <xf numFmtId="0" fontId="16" fillId="17" borderId="53" xfId="0" quotePrefix="1" applyFont="1" applyFill="1" applyBorder="1" applyAlignment="1">
      <alignment vertical="top" wrapText="1"/>
    </xf>
    <xf numFmtId="0" fontId="16" fillId="17" borderId="55" xfId="0" applyFont="1" applyFill="1" applyBorder="1" applyAlignment="1">
      <alignment vertical="top" wrapText="1"/>
    </xf>
    <xf numFmtId="0" fontId="14" fillId="17" borderId="56" xfId="0" applyFont="1" applyFill="1" applyBorder="1" applyAlignment="1">
      <alignment vertical="top" wrapText="1"/>
    </xf>
    <xf numFmtId="164" fontId="16" fillId="16" borderId="4" xfId="1" applyNumberFormat="1" applyFont="1" applyFill="1" applyBorder="1" applyAlignment="1">
      <alignment horizontal="right"/>
    </xf>
    <xf numFmtId="164" fontId="14" fillId="16" borderId="0" xfId="1" applyNumberFormat="1" applyFont="1" applyFill="1" applyBorder="1" applyAlignment="1" applyProtection="1">
      <alignment horizontal="right"/>
    </xf>
    <xf numFmtId="164" fontId="14" fillId="16" borderId="0" xfId="1" applyNumberFormat="1" applyFont="1" applyFill="1" applyBorder="1" applyAlignment="1">
      <alignment horizontal="right"/>
    </xf>
    <xf numFmtId="165" fontId="98" fillId="16" borderId="0" xfId="3" applyNumberFormat="1" applyFont="1" applyFill="1" applyBorder="1" applyAlignment="1" applyProtection="1">
      <alignment horizontal="right" vertical="center"/>
      <protection locked="0"/>
    </xf>
    <xf numFmtId="165" fontId="98" fillId="16" borderId="0" xfId="3" applyNumberFormat="1" applyFont="1" applyFill="1" applyBorder="1" applyAlignment="1" applyProtection="1">
      <alignment horizontal="right" vertical="center"/>
    </xf>
    <xf numFmtId="164" fontId="14" fillId="16" borderId="0" xfId="0" applyNumberFormat="1" applyFont="1" applyFill="1" applyAlignment="1">
      <alignment horizontal="right"/>
    </xf>
    <xf numFmtId="172" fontId="59" fillId="16" borderId="0" xfId="0" applyNumberFormat="1" applyFont="1" applyFill="1" applyAlignment="1">
      <alignment horizontal="right"/>
    </xf>
    <xf numFmtId="165" fontId="68" fillId="16" borderId="0" xfId="3" applyNumberFormat="1" applyFont="1" applyFill="1" applyBorder="1" applyAlignment="1">
      <alignment horizontal="right"/>
    </xf>
    <xf numFmtId="165" fontId="68" fillId="16" borderId="0" xfId="3" applyNumberFormat="1" applyFont="1" applyFill="1" applyBorder="1" applyAlignment="1" applyProtection="1">
      <alignment horizontal="right"/>
    </xf>
    <xf numFmtId="165" fontId="100" fillId="13" borderId="0" xfId="3" applyNumberFormat="1" applyFont="1" applyFill="1" applyBorder="1" applyAlignment="1">
      <alignment horizontal="right"/>
    </xf>
    <xf numFmtId="165" fontId="119" fillId="16" borderId="0" xfId="3" applyNumberFormat="1" applyFont="1" applyFill="1" applyBorder="1" applyAlignment="1" applyProtection="1">
      <alignment horizontal="right" vertical="center"/>
    </xf>
    <xf numFmtId="165" fontId="100" fillId="16" borderId="0" xfId="3" applyNumberFormat="1" applyFont="1" applyFill="1" applyBorder="1" applyAlignment="1" applyProtection="1">
      <alignment horizontal="right" vertical="center"/>
      <protection locked="0"/>
    </xf>
    <xf numFmtId="9" fontId="38" fillId="0" borderId="14" xfId="6" applyFont="1" applyFill="1" applyBorder="1"/>
    <xf numFmtId="164" fontId="72" fillId="0" borderId="0" xfId="0" applyNumberFormat="1" applyFont="1" applyAlignment="1">
      <alignment horizontal="right" vertical="center"/>
    </xf>
    <xf numFmtId="0" fontId="92" fillId="0" borderId="50" xfId="0" applyFont="1" applyBorder="1" applyAlignment="1">
      <alignment horizontal="center" vertical="center" textRotation="180"/>
    </xf>
    <xf numFmtId="0" fontId="92" fillId="0" borderId="49" xfId="0" applyFont="1" applyBorder="1" applyAlignment="1">
      <alignment horizontal="center" vertical="center" textRotation="180"/>
    </xf>
    <xf numFmtId="0" fontId="5" fillId="0" borderId="10" xfId="0" applyFont="1" applyBorder="1" applyAlignment="1">
      <alignment horizontal="center" vertical="center" textRotation="180"/>
    </xf>
    <xf numFmtId="0" fontId="52" fillId="0" borderId="0" xfId="0" applyFont="1" applyAlignment="1">
      <alignment horizontal="center" vertical="center" textRotation="180"/>
    </xf>
    <xf numFmtId="9" fontId="52" fillId="0" borderId="0" xfId="6" applyFont="1" applyFill="1" applyBorder="1" applyAlignment="1">
      <alignment horizontal="center" vertical="center" textRotation="180"/>
    </xf>
    <xf numFmtId="9" fontId="52" fillId="0" borderId="0" xfId="6" applyFont="1" applyFill="1" applyBorder="1" applyAlignment="1">
      <alignment horizontal="center" wrapText="1"/>
    </xf>
    <xf numFmtId="1" fontId="22" fillId="0" borderId="0" xfId="6" applyNumberFormat="1" applyFont="1" applyFill="1" applyAlignment="1">
      <alignment horizontal="center" wrapText="1"/>
    </xf>
    <xf numFmtId="171" fontId="69" fillId="9" borderId="0" xfId="6" applyNumberFormat="1" applyFont="1" applyFill="1" applyAlignment="1">
      <alignment horizontal="center" textRotation="90" wrapText="1"/>
    </xf>
    <xf numFmtId="1" fontId="22" fillId="0" borderId="30" xfId="6" applyNumberFormat="1" applyFont="1" applyFill="1" applyBorder="1" applyAlignment="1">
      <alignment horizontal="center" vertical="center" wrapText="1"/>
    </xf>
    <xf numFmtId="1" fontId="22" fillId="0" borderId="28" xfId="6" applyNumberFormat="1" applyFont="1" applyFill="1" applyBorder="1" applyAlignment="1">
      <alignment horizontal="center" vertical="center" wrapText="1"/>
    </xf>
    <xf numFmtId="1" fontId="22" fillId="0" borderId="31" xfId="6" applyNumberFormat="1" applyFont="1" applyFill="1" applyBorder="1" applyAlignment="1">
      <alignment horizontal="center" vertical="center" wrapText="1"/>
    </xf>
    <xf numFmtId="0" fontId="5" fillId="18" borderId="10" xfId="0" applyFont="1" applyFill="1" applyBorder="1" applyAlignment="1">
      <alignment horizontal="center" vertical="center" textRotation="180"/>
    </xf>
    <xf numFmtId="0" fontId="16" fillId="17" borderId="47" xfId="0" applyFont="1" applyFill="1" applyBorder="1" applyAlignment="1">
      <alignment horizontal="left" vertical="center" wrapText="1"/>
    </xf>
    <xf numFmtId="0" fontId="16" fillId="17" borderId="2" xfId="0" applyFont="1" applyFill="1" applyBorder="1" applyAlignment="1">
      <alignment horizontal="left" vertical="center" wrapText="1"/>
    </xf>
    <xf numFmtId="0" fontId="16" fillId="17" borderId="44" xfId="0" applyFont="1" applyFill="1" applyBorder="1" applyAlignment="1">
      <alignment horizontal="left" vertical="center" wrapText="1"/>
    </xf>
    <xf numFmtId="0" fontId="16" fillId="17" borderId="0" xfId="0" applyFont="1" applyFill="1" applyAlignment="1">
      <alignment horizontal="left" vertical="center" wrapText="1"/>
    </xf>
    <xf numFmtId="0" fontId="16" fillId="17" borderId="48" xfId="0" applyFont="1" applyFill="1" applyBorder="1" applyAlignment="1">
      <alignment horizontal="left" vertical="center" wrapText="1"/>
    </xf>
    <xf numFmtId="0" fontId="11" fillId="9" borderId="1" xfId="0" applyFont="1" applyFill="1" applyBorder="1" applyAlignment="1">
      <alignment horizontal="left" vertical="top" wrapText="1"/>
    </xf>
    <xf numFmtId="0" fontId="11" fillId="9" borderId="43" xfId="0" applyFont="1" applyFill="1" applyBorder="1" applyAlignment="1">
      <alignment horizontal="left" vertical="top" wrapText="1"/>
    </xf>
    <xf numFmtId="0" fontId="16" fillId="17" borderId="45" xfId="0" applyFont="1" applyFill="1" applyBorder="1" applyAlignment="1">
      <alignment horizontal="left" vertical="center" wrapText="1"/>
    </xf>
    <xf numFmtId="0" fontId="11" fillId="12" borderId="0" xfId="0" applyFont="1" applyFill="1" applyAlignment="1">
      <alignment horizontal="left" vertical="center" wrapText="1"/>
    </xf>
    <xf numFmtId="0" fontId="11" fillId="4" borderId="0" xfId="0" applyFont="1" applyFill="1" applyAlignment="1">
      <alignment horizontal="left" vertical="center" wrapText="1"/>
    </xf>
    <xf numFmtId="0" fontId="11" fillId="15" borderId="44" xfId="0" applyFont="1" applyFill="1" applyBorder="1" applyAlignment="1">
      <alignment horizontal="left" vertical="center" wrapText="1"/>
    </xf>
    <xf numFmtId="0" fontId="11" fillId="9" borderId="42" xfId="0" applyFont="1" applyFill="1" applyBorder="1" applyAlignment="1">
      <alignment horizontal="left" vertical="top" wrapText="1"/>
    </xf>
  </cellXfs>
  <cellStyles count="7">
    <cellStyle name="Comma" xfId="1" builtinId="3"/>
    <cellStyle name="Normal" xfId="0" builtinId="0"/>
    <cellStyle name="Normal 2" xfId="2" xr:uid="{C1DC1BCE-43A1-49FD-8613-25F56FEEA63D}"/>
    <cellStyle name="Normal 2 2" xfId="5" xr:uid="{E6159BF3-CAC0-4CCA-9F3E-C82B6A40FF71}"/>
    <cellStyle name="Normal 3" xfId="4" xr:uid="{C2645E02-E531-41B7-8A49-BFEB0D02926B}"/>
    <cellStyle name="Percent" xfId="3" builtinId="5"/>
    <cellStyle name="Percent 2" xfId="6" xr:uid="{6EBBED0E-6B19-4CAE-8208-7A908EE1F4DF}"/>
  </cellStyles>
  <dxfs count="2">
    <dxf>
      <font>
        <color theme="8" tint="-0.24994659260841701"/>
      </font>
      <fill>
        <patternFill>
          <bgColor theme="8" tint="0.79998168889431442"/>
        </patternFill>
      </fill>
    </dxf>
    <dxf>
      <font>
        <color rgb="FF00B050"/>
      </font>
      <fill>
        <patternFill>
          <bgColor rgb="FF92D050"/>
        </patternFill>
      </fill>
    </dxf>
  </dxfs>
  <tableStyles count="0" defaultTableStyle="TableStyleMedium2" defaultPivotStyle="PivotStyleLight16"/>
  <colors>
    <mruColors>
      <color rgb="FFFFFF99"/>
      <color rgb="FFC7C7C7"/>
      <color rgb="FF99DAF3"/>
      <color rgb="FFD1B3D4"/>
      <color rgb="FF747678"/>
      <color rgb="FFF2A5CD"/>
      <color rgb="FF739600"/>
      <color rgb="FFCCEDF9"/>
      <color rgb="FFE98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519274376417234E-2"/>
          <c:y val="1.4516605014757841E-2"/>
          <c:w val="0.97696145124716549"/>
          <c:h val="0.75004256272401437"/>
        </c:manualLayout>
      </c:layout>
      <c:barChart>
        <c:barDir val="col"/>
        <c:grouping val="stacked"/>
        <c:varyColors val="0"/>
        <c:ser>
          <c:idx val="1"/>
          <c:order val="0"/>
          <c:tx>
            <c:strRef>
              <c:f>Database!$B$20</c:f>
              <c:strCache>
                <c:ptCount val="1"/>
                <c:pt idx="0">
                  <c:v>Germany</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(Database!$V$20,Database!$Y$20,Database!$AB$20,Database!$AE$20,Database!$AH$20,Database!$AK$20,Database!$AN$20,Database!$AQ$20)</c:f>
              <c:numCache>
                <c:formatCode>#,##0.0;\(#,##0.0\)</c:formatCode>
                <c:ptCount val="8"/>
                <c:pt idx="0">
                  <c:v>157.80000000000001</c:v>
                </c:pt>
                <c:pt idx="1">
                  <c:v>175.1</c:v>
                </c:pt>
                <c:pt idx="2">
                  <c:v>230.3</c:v>
                </c:pt>
                <c:pt idx="3">
                  <c:v>276</c:v>
                </c:pt>
                <c:pt idx="4">
                  <c:v>299.8</c:v>
                </c:pt>
                <c:pt idx="5">
                  <c:v>259.8</c:v>
                </c:pt>
                <c:pt idx="6">
                  <c:v>244.8</c:v>
                </c:pt>
                <c:pt idx="7">
                  <c:v>313.89999999999998</c:v>
                </c:pt>
              </c:numCache>
            </c:numRef>
          </c:val>
          <c:extLst>
            <c:ext xmlns:c16="http://schemas.microsoft.com/office/drawing/2014/chart" uri="{C3380CC4-5D6E-409C-BE32-E72D297353CC}">
              <c16:uniqueId val="{00000001-DA29-4A17-A997-45677D84E215}"/>
            </c:ext>
          </c:extLst>
        </c:ser>
        <c:ser>
          <c:idx val="2"/>
          <c:order val="1"/>
          <c:tx>
            <c:strRef>
              <c:f>Database!$B$24</c:f>
              <c:strCache>
                <c:ptCount val="1"/>
                <c:pt idx="0">
                  <c:v>UK &amp; Ireland (UK&amp;I)</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(Database!$V$24,Database!$Y$24,Database!$AB$24,Database!$AE$24,Database!$AH$24,Database!$AK$24,Database!$AN$24,Database!$AQ$24)</c:f>
              <c:numCache>
                <c:formatCode>#,##0.0;\(#,##0.0\)</c:formatCode>
                <c:ptCount val="8"/>
                <c:pt idx="0">
                  <c:v>271.89999999999998</c:v>
                </c:pt>
                <c:pt idx="1">
                  <c:v>271.7</c:v>
                </c:pt>
                <c:pt idx="2">
                  <c:v>252.9</c:v>
                </c:pt>
                <c:pt idx="3">
                  <c:v>258.2</c:v>
                </c:pt>
                <c:pt idx="4">
                  <c:v>263.8</c:v>
                </c:pt>
                <c:pt idx="5">
                  <c:v>225.6</c:v>
                </c:pt>
                <c:pt idx="6">
                  <c:v>201.1</c:v>
                </c:pt>
                <c:pt idx="7">
                  <c:v>263.3</c:v>
                </c:pt>
              </c:numCache>
            </c:numRef>
          </c:val>
          <c:extLst>
            <c:ext xmlns:c16="http://schemas.microsoft.com/office/drawing/2014/chart" uri="{C3380CC4-5D6E-409C-BE32-E72D297353CC}">
              <c16:uniqueId val="{00000002-DA29-4A17-A997-45677D84E215}"/>
            </c:ext>
          </c:extLst>
        </c:ser>
        <c:ser>
          <c:idx val="0"/>
          <c:order val="2"/>
          <c:tx>
            <c:strRef>
              <c:f>Database!$B$16</c:f>
              <c:strCache>
                <c:ptCount val="1"/>
                <c:pt idx="0">
                  <c:v>Australia &amp; New Zealand (ANZ)</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(Database!$V$16,Database!$Y$16,Database!$AB$16,Database!$AE$16,Database!$AH$16,Database!$AK$16,Database!$AN$16,Database!$AQ$16)</c:f>
              <c:numCache>
                <c:formatCode>#,##0.0;\(#,##0.0\)</c:formatCode>
                <c:ptCount val="8"/>
                <c:pt idx="0">
                  <c:v>138.69999999999999</c:v>
                </c:pt>
                <c:pt idx="1">
                  <c:v>133.6</c:v>
                </c:pt>
                <c:pt idx="2">
                  <c:v>180.7</c:v>
                </c:pt>
                <c:pt idx="3">
                  <c:v>199.4</c:v>
                </c:pt>
                <c:pt idx="4">
                  <c:v>198.5</c:v>
                </c:pt>
                <c:pt idx="5">
                  <c:v>170.5</c:v>
                </c:pt>
                <c:pt idx="6">
                  <c:v>159.9</c:v>
                </c:pt>
                <c:pt idx="7">
                  <c:v>195.7</c:v>
                </c:pt>
              </c:numCache>
            </c:numRef>
          </c:val>
          <c:extLst>
            <c:ext xmlns:c16="http://schemas.microsoft.com/office/drawing/2014/chart" uri="{C3380CC4-5D6E-409C-BE32-E72D297353CC}">
              <c16:uniqueId val="{00000000-DA29-4A17-A997-45677D84E215}"/>
            </c:ext>
          </c:extLst>
        </c:ser>
        <c:ser>
          <c:idx val="3"/>
          <c:order val="3"/>
          <c:tx>
            <c:strRef>
              <c:f>Database!$B$28</c:f>
              <c:strCache>
                <c:ptCount val="1"/>
                <c:pt idx="0">
                  <c:v>Rest of World (RoW)</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(Database!$V$28,Database!$Y$28,Database!$AB$28,Database!$AE$28,Database!$AH$28,Database!$AK$28,Database!$AN$28,Database!$AQ$28)</c:f>
              <c:numCache>
                <c:formatCode>#,##0.0;\(#,##0.0\)</c:formatCode>
                <c:ptCount val="8"/>
                <c:pt idx="0">
                  <c:v>195.8</c:v>
                </c:pt>
                <c:pt idx="1">
                  <c:v>229.9</c:v>
                </c:pt>
                <c:pt idx="2">
                  <c:v>290.7</c:v>
                </c:pt>
                <c:pt idx="3">
                  <c:v>339.2</c:v>
                </c:pt>
                <c:pt idx="4">
                  <c:v>367.6</c:v>
                </c:pt>
                <c:pt idx="5">
                  <c:v>340.3</c:v>
                </c:pt>
                <c:pt idx="6">
                  <c:v>312.3</c:v>
                </c:pt>
                <c:pt idx="7">
                  <c:v>416.5</c:v>
                </c:pt>
              </c:numCache>
            </c:numRef>
          </c:val>
          <c:extLst>
            <c:ext xmlns:c16="http://schemas.microsoft.com/office/drawing/2014/chart" uri="{C3380CC4-5D6E-409C-BE32-E72D297353CC}">
              <c16:uniqueId val="{00000003-DA29-4A17-A997-45677D84E215}"/>
            </c:ext>
          </c:extLst>
        </c:ser>
        <c:ser>
          <c:idx val="4"/>
          <c:order val="4"/>
          <c:tx>
            <c:strRef>
              <c:f>Database!$B$262</c:f>
              <c:strCache>
                <c:ptCount val="1"/>
              </c:strCache>
            </c:strRef>
          </c:tx>
          <c:spPr>
            <a:solidFill>
              <a:schemeClr val="accent5"/>
            </a:solidFill>
            <a:ln>
              <a:noFill/>
            </a:ln>
            <a:effectLst/>
          </c:spPr>
          <c:invertIfNegative val="0"/>
          <c:dLbls>
            <c:dLbl>
              <c:idx val="0"/>
              <c:tx>
                <c:rich>
                  <a:bodyPr/>
                  <a:lstStyle/>
                  <a:p>
                    <a:fld id="{40765D2C-323D-44EB-A820-71117110D78A}"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6E7-4238-9900-17B514AAC62A}"/>
                </c:ext>
              </c:extLst>
            </c:dLbl>
            <c:dLbl>
              <c:idx val="1"/>
              <c:tx>
                <c:rich>
                  <a:bodyPr/>
                  <a:lstStyle/>
                  <a:p>
                    <a:fld id="{31308D36-0D6C-4AE7-A0AA-47B5318AE8DC}"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6E7-4238-9900-17B514AAC62A}"/>
                </c:ext>
              </c:extLst>
            </c:dLbl>
            <c:dLbl>
              <c:idx val="2"/>
              <c:tx>
                <c:rich>
                  <a:bodyPr/>
                  <a:lstStyle/>
                  <a:p>
                    <a:fld id="{2A5063B3-77E1-4014-B99F-D0BC1719F350}"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6E7-4238-9900-17B514AAC62A}"/>
                </c:ext>
              </c:extLst>
            </c:dLbl>
            <c:dLbl>
              <c:idx val="3"/>
              <c:tx>
                <c:rich>
                  <a:bodyPr/>
                  <a:lstStyle/>
                  <a:p>
                    <a:fld id="{32A2DE22-DCA9-4C83-9F80-4A82AD4B31E9}"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6E7-4238-9900-17B514AAC62A}"/>
                </c:ext>
              </c:extLst>
            </c:dLbl>
            <c:dLbl>
              <c:idx val="4"/>
              <c:tx>
                <c:rich>
                  <a:bodyPr/>
                  <a:lstStyle/>
                  <a:p>
                    <a:fld id="{46563E65-CC2E-4D66-9567-FD2C34BF8AA4}"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6E7-4238-9900-17B514AAC62A}"/>
                </c:ext>
              </c:extLst>
            </c:dLbl>
            <c:dLbl>
              <c:idx val="5"/>
              <c:tx>
                <c:rich>
                  <a:bodyPr/>
                  <a:lstStyle/>
                  <a:p>
                    <a:fld id="{3897FCC5-4171-49B0-8C84-BAE634D2AEE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E96-4AB6-960E-3621C1D1B6A5}"/>
                </c:ext>
              </c:extLst>
            </c:dLbl>
            <c:dLbl>
              <c:idx val="6"/>
              <c:tx>
                <c:rich>
                  <a:bodyPr/>
                  <a:lstStyle/>
                  <a:p>
                    <a:fld id="{0C123BCF-80EF-4F7B-B4CC-6883DB1CF1D4}"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5D4-4E3A-8034-E68D7E7393EB}"/>
                </c:ext>
              </c:extLst>
            </c:dLbl>
            <c:dLbl>
              <c:idx val="7"/>
              <c:tx>
                <c:rich>
                  <a:bodyPr/>
                  <a:lstStyle/>
                  <a:p>
                    <a:fld id="{A4BFC213-A0DD-40A5-BCA3-284589F8817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4AF-40CE-AFE8-C9F420119A7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(Database!$V$262,Database!$Y$262,Database!$AB$262,Database!$AE$262,Database!$AH$262,Database!$AK$262,Database!$AN$262,Database!$AQ$262)</c:f>
              <c:numCache>
                <c:formatCode>#,##0;\(#,##0\)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datalabelsRange>
                <c15:f>(Database!$V$14,Database!$Y$14,Database!$AB$14,Database!$AE$14,Database!$AH$14,Database!$AK$14,Database!$AN$14,Database!$AQ$14)</c15:f>
                <c15:dlblRangeCache>
                  <c:ptCount val="8"/>
                  <c:pt idx="0">
                    <c:v>764</c:v>
                  </c:pt>
                  <c:pt idx="1">
                    <c:v>810</c:v>
                  </c:pt>
                  <c:pt idx="2">
                    <c:v>955</c:v>
                  </c:pt>
                  <c:pt idx="3">
                    <c:v>1,073</c:v>
                  </c:pt>
                  <c:pt idx="4">
                    <c:v>1,130</c:v>
                  </c:pt>
                  <c:pt idx="5">
                    <c:v>996</c:v>
                  </c:pt>
                  <c:pt idx="6">
                    <c:v>918</c:v>
                  </c:pt>
                  <c:pt idx="7">
                    <c:v>1,189</c:v>
                  </c:pt>
                </c15:dlblRangeCache>
              </c15:datalabelsRange>
            </c:ext>
            <c:ext xmlns:c16="http://schemas.microsoft.com/office/drawing/2014/chart" uri="{C3380CC4-5D6E-409C-BE32-E72D297353CC}">
              <c16:uniqueId val="{00000004-DA29-4A17-A997-45677D84E215}"/>
            </c:ext>
          </c:extLst>
        </c:ser>
        <c:dLbls>
          <c:showLegendKey val="0"/>
          <c:showVal val="0"/>
          <c:showCatName val="0"/>
          <c:showSerName val="0"/>
          <c:showPercent val="0"/>
          <c:showBubbleSize val="0"/>
        </c:dLbls>
        <c:gapWidth val="30"/>
        <c:overlap val="100"/>
        <c:axId val="547907512"/>
        <c:axId val="547907184"/>
      </c:barChart>
      <c:catAx>
        <c:axId val="5479075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184"/>
        <c:crosses val="autoZero"/>
        <c:auto val="1"/>
        <c:lblAlgn val="ctr"/>
        <c:lblOffset val="100"/>
        <c:noMultiLvlLbl val="0"/>
      </c:catAx>
      <c:valAx>
        <c:axId val="547907184"/>
        <c:scaling>
          <c:orientation val="minMax"/>
        </c:scaling>
        <c:delete val="1"/>
        <c:axPos val="l"/>
        <c:numFmt formatCode="#,##0.0;\(#,##0.0\)" sourceLinked="1"/>
        <c:majorTickMark val="out"/>
        <c:minorTickMark val="none"/>
        <c:tickLblPos val="nextTo"/>
        <c:crossAx val="547907512"/>
        <c:crosses val="autoZero"/>
        <c:crossBetween val="between"/>
      </c:valAx>
      <c:spPr>
        <a:noFill/>
        <a:ln>
          <a:noFill/>
        </a:ln>
        <a:effectLst/>
      </c:spPr>
    </c:plotArea>
    <c:legend>
      <c:legendPos val="b"/>
      <c:legendEntry>
        <c:idx val="4"/>
        <c:delete val="1"/>
      </c:legendEntry>
      <c:layout>
        <c:manualLayout>
          <c:xMode val="edge"/>
          <c:yMode val="edge"/>
          <c:x val="0"/>
          <c:y val="0.87328423111194176"/>
          <c:w val="1"/>
          <c:h val="0.12102574028773858"/>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082309826235441E-3"/>
          <c:y val="0"/>
          <c:w val="0.992153371320038"/>
          <c:h val="0.83893957115009743"/>
        </c:manualLayout>
      </c:layout>
      <c:lineChart>
        <c:grouping val="standard"/>
        <c:varyColors val="0"/>
        <c:ser>
          <c:idx val="0"/>
          <c:order val="0"/>
          <c:tx>
            <c:strRef>
              <c:f>Quarters!$D$3</c:f>
              <c:strCache>
                <c:ptCount val="1"/>
                <c:pt idx="0">
                  <c:v>Germany</c:v>
                </c:pt>
              </c:strCache>
            </c:strRef>
          </c:tx>
          <c:spPr>
            <a:ln>
              <a:solidFill>
                <a:schemeClr val="accent1"/>
              </a:solidFill>
            </a:ln>
          </c:spPr>
          <c:marker>
            <c:symbol val="circle"/>
            <c:size val="5"/>
            <c:spPr>
              <a:solidFill>
                <a:schemeClr val="accent1"/>
              </a:solidFill>
              <a:ln w="9525">
                <a:solidFill>
                  <a:schemeClr val="accent1"/>
                </a:solidFill>
              </a:ln>
              <a:effectLst/>
            </c:spPr>
          </c:marker>
          <c:dLbls>
            <c:dLbl>
              <c:idx val="0"/>
              <c:layout>
                <c:manualLayout>
                  <c:x val="-3.1421715180430356E-3"/>
                  <c:y val="-1.459599500010637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0D-474A-BE8A-2CA2DF975DCC}"/>
                </c:ext>
              </c:extLst>
            </c:dLbl>
            <c:dLbl>
              <c:idx val="1"/>
              <c:layout>
                <c:manualLayout>
                  <c:x val="-6.7831150793650985E-2"/>
                  <c:y val="-3.40962776935126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0D-474A-BE8A-2CA2DF975DCC}"/>
                </c:ext>
              </c:extLst>
            </c:dLbl>
            <c:dLbl>
              <c:idx val="2"/>
              <c:dLblPos val="b"/>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E1E7-4512-B757-A8BB465F5D6A}"/>
                </c:ext>
              </c:extLst>
            </c:dLbl>
            <c:dLbl>
              <c:idx val="20"/>
              <c:layout>
                <c:manualLayout>
                  <c:x val="-6.7831150793650985E-2"/>
                  <c:y val="-3.40962776935126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87D-40A2-BBD7-83F6289A19F1}"/>
                </c:ext>
              </c:extLst>
            </c:dLbl>
            <c:dLbl>
              <c:idx val="21"/>
              <c:dLblPos val="b"/>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0776-472A-8FED-7C8F24925A49}"/>
                </c:ext>
              </c:extLst>
            </c:dLbl>
            <c:numFmt formatCode="0%;\(0%\)" sourceLinked="0"/>
            <c:spPr>
              <a:noFill/>
              <a:ln>
                <a:noFill/>
              </a:ln>
              <a:effectLst/>
            </c:spPr>
            <c:txPr>
              <a:bodyPr wrap="square" lIns="0" tIns="0" rIns="0" bIns="0" anchor="ctr">
                <a:spAutoFit/>
              </a:bodyPr>
              <a:lstStyle/>
              <a:p>
                <a:pPr>
                  <a:defRPr sz="800" b="0">
                    <a:solidFill>
                      <a:schemeClr val="accent1"/>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multiLvlStrRef>
              <c:extLst>
                <c:ext xmlns:c15="http://schemas.microsoft.com/office/drawing/2012/chart" uri="{02D57815-91ED-43cb-92C2-25804820EDAC}">
                  <c15:fullRef>
                    <c15:sqref>Quarters!$AL$8:$AM$33</c15:sqref>
                  </c15:fullRef>
                </c:ext>
              </c:extLst>
              <c:f>Quarters!$AL$8:$AM$33</c:f>
              <c:multiLvlStrCache>
                <c:ptCount val="2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lvl>
                <c:lvl>
                  <c:pt idx="0">
                    <c:v>FY17</c:v>
                  </c:pt>
                  <c:pt idx="4">
                    <c:v>FY18</c:v>
                  </c:pt>
                  <c:pt idx="8">
                    <c:v>FY19</c:v>
                  </c:pt>
                  <c:pt idx="12">
                    <c:v>FY20</c:v>
                  </c:pt>
                  <c:pt idx="16">
                    <c:v>FY21</c:v>
                  </c:pt>
                  <c:pt idx="20">
                    <c:v>FY22</c:v>
                  </c:pt>
                </c:lvl>
              </c:multiLvlStrCache>
            </c:multiLvlStrRef>
          </c:cat>
          <c:val>
            <c:numRef>
              <c:extLst>
                <c:ext xmlns:c15="http://schemas.microsoft.com/office/drawing/2012/chart" uri="{02D57815-91ED-43cb-92C2-25804820EDAC}">
                  <c15:fullRef>
                    <c15:sqref>Quarters!$D$4:$D$32</c15:sqref>
                  </c15:fullRef>
                </c:ext>
              </c:extLst>
              <c:f>Quarters!$D$4:$D$29</c:f>
              <c:numCache>
                <c:formatCode>0%;[Red]\(0%\)</c:formatCode>
                <c:ptCount val="24"/>
                <c:pt idx="0">
                  <c:v>0.05</c:v>
                </c:pt>
                <c:pt idx="1">
                  <c:v>0.23</c:v>
                </c:pt>
                <c:pt idx="2">
                  <c:v>0.12</c:v>
                </c:pt>
                <c:pt idx="3">
                  <c:v>7.0000000000000007E-2</c:v>
                </c:pt>
                <c:pt idx="4">
                  <c:v>0.23</c:v>
                </c:pt>
                <c:pt idx="5">
                  <c:v>0.16</c:v>
                </c:pt>
                <c:pt idx="6">
                  <c:v>0.15</c:v>
                </c:pt>
                <c:pt idx="7">
                  <c:v>0.19</c:v>
                </c:pt>
                <c:pt idx="8">
                  <c:v>0.16</c:v>
                </c:pt>
                <c:pt idx="9">
                  <c:v>0.16</c:v>
                </c:pt>
                <c:pt idx="10">
                  <c:v>0.13</c:v>
                </c:pt>
                <c:pt idx="11">
                  <c:v>0.15</c:v>
                </c:pt>
                <c:pt idx="12">
                  <c:v>0.06</c:v>
                </c:pt>
                <c:pt idx="13">
                  <c:v>0.02</c:v>
                </c:pt>
                <c:pt idx="14">
                  <c:v>0</c:v>
                </c:pt>
                <c:pt idx="15">
                  <c:v>-0.09</c:v>
                </c:pt>
                <c:pt idx="16">
                  <c:v>-0.1</c:v>
                </c:pt>
                <c:pt idx="17">
                  <c:v>-0.33</c:v>
                </c:pt>
                <c:pt idx="18">
                  <c:v>-0.31</c:v>
                </c:pt>
                <c:pt idx="19">
                  <c:v>-0.2</c:v>
                </c:pt>
                <c:pt idx="20">
                  <c:v>-0.05</c:v>
                </c:pt>
                <c:pt idx="21">
                  <c:v>0.38</c:v>
                </c:pt>
                <c:pt idx="22">
                  <c:v>0.39</c:v>
                </c:pt>
                <c:pt idx="23">
                  <c:v>0.37</c:v>
                </c:pt>
              </c:numCache>
            </c:numRef>
          </c:val>
          <c:smooth val="0"/>
          <c:extLst>
            <c:ext xmlns:c16="http://schemas.microsoft.com/office/drawing/2014/chart" uri="{C3380CC4-5D6E-409C-BE32-E72D297353CC}">
              <c16:uniqueId val="{0000000B-9806-4498-8182-80F6EB4BEFD6}"/>
            </c:ext>
          </c:extLst>
        </c:ser>
        <c:dLbls>
          <c:showLegendKey val="0"/>
          <c:showVal val="0"/>
          <c:showCatName val="0"/>
          <c:showSerName val="0"/>
          <c:showPercent val="0"/>
          <c:showBubbleSize val="0"/>
        </c:dLbls>
        <c:marker val="1"/>
        <c:smooth val="0"/>
        <c:axId val="347334952"/>
        <c:axId val="347335344"/>
      </c:lineChart>
      <c:catAx>
        <c:axId val="347334952"/>
        <c:scaling>
          <c:orientation val="minMax"/>
        </c:scaling>
        <c:delete val="0"/>
        <c:axPos val="b"/>
        <c:numFmt formatCode="General" sourceLinked="1"/>
        <c:majorTickMark val="none"/>
        <c:minorTickMark val="none"/>
        <c:tickLblPos val="low"/>
        <c:spPr>
          <a:noFill/>
          <a:ln w="19050" cap="flat" cmpd="sng" algn="ctr">
            <a:solidFill>
              <a:schemeClr val="bg1">
                <a:lumMod val="65000"/>
              </a:schemeClr>
            </a:solidFill>
            <a:round/>
          </a:ln>
          <a:effectLst/>
        </c:spPr>
        <c:txPr>
          <a:bodyPr rot="-60000000" spcFirstLastPara="1" vertOverflow="ellipsis" vert="horz" wrap="square" anchor="ctr" anchorCtr="1"/>
          <a:lstStyle/>
          <a:p>
            <a:pPr>
              <a:defRPr sz="7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47335344"/>
        <c:crosses val="autoZero"/>
        <c:auto val="1"/>
        <c:lblAlgn val="ctr"/>
        <c:lblOffset val="50"/>
        <c:noMultiLvlLbl val="0"/>
      </c:catAx>
      <c:valAx>
        <c:axId val="347335344"/>
        <c:scaling>
          <c:orientation val="minMax"/>
          <c:max val="0.45"/>
          <c:min val="-0.45"/>
        </c:scaling>
        <c:delete val="1"/>
        <c:axPos val="l"/>
        <c:numFmt formatCode="0%;[Red]\(0%\)" sourceLinked="1"/>
        <c:majorTickMark val="out"/>
        <c:minorTickMark val="none"/>
        <c:tickLblPos val="nextTo"/>
        <c:crossAx val="347334952"/>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233143399810067E-3"/>
          <c:y val="0"/>
          <c:w val="0.992153371320038"/>
          <c:h val="0.83893957115009743"/>
        </c:manualLayout>
      </c:layout>
      <c:lineChart>
        <c:grouping val="standard"/>
        <c:varyColors val="0"/>
        <c:ser>
          <c:idx val="0"/>
          <c:order val="0"/>
          <c:tx>
            <c:strRef>
              <c:f>Quarters!$C$3</c:f>
              <c:strCache>
                <c:ptCount val="1"/>
                <c:pt idx="0">
                  <c:v>Australia &amp; New Zealand</c:v>
                </c:pt>
              </c:strCache>
            </c:strRef>
          </c:tx>
          <c:spPr>
            <a:ln>
              <a:solidFill>
                <a:schemeClr val="accent5"/>
              </a:solidFill>
            </a:ln>
          </c:spPr>
          <c:marker>
            <c:symbol val="circle"/>
            <c:size val="5"/>
            <c:spPr>
              <a:solidFill>
                <a:schemeClr val="accent5"/>
              </a:solidFill>
              <a:ln w="9525">
                <a:solidFill>
                  <a:schemeClr val="accent5"/>
                </a:solidFill>
              </a:ln>
              <a:effectLst/>
            </c:spPr>
          </c:marker>
          <c:dLbls>
            <c:dLbl>
              <c:idx val="15"/>
              <c:layout>
                <c:manualLayout>
                  <c:x val="-6.3348752834467115E-2"/>
                  <c:y val="4.60150926574539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EBC-4D3A-B7B1-A68358E95162}"/>
                </c:ext>
              </c:extLst>
            </c:dLbl>
            <c:dLbl>
              <c:idx val="17"/>
              <c:layout>
                <c:manualLayout>
                  <c:x val="-4.3457137508296786E-2"/>
                  <c:y val="5.10677491276492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4C-4D46-9C93-7B862CA91E98}"/>
                </c:ext>
              </c:extLst>
            </c:dLbl>
            <c:dLbl>
              <c:idx val="18"/>
              <c:layout>
                <c:manualLayout>
                  <c:x val="-3.1106295348692086E-3"/>
                  <c:y val="-1.47211792691316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C-4D46-9C93-7B862CA91E98}"/>
                </c:ext>
              </c:extLst>
            </c:dLbl>
            <c:dLbl>
              <c:idx val="19"/>
              <c:layout>
                <c:manualLayout>
                  <c:x val="-7.8880357142857141E-2"/>
                  <c:y val="1.79147250130769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C-4D46-9C93-7B862CA91E98}"/>
                </c:ext>
              </c:extLst>
            </c:dLbl>
            <c:dLbl>
              <c:idx val="20"/>
              <c:layout>
                <c:manualLayout>
                  <c:x val="-3.9243446245312771E-2"/>
                  <c:y val="4.787465499664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BE-4716-95F0-9B6C7D9F444B}"/>
                </c:ext>
              </c:extLst>
            </c:dLbl>
            <c:dLbl>
              <c:idx val="22"/>
              <c:layout>
                <c:manualLayout>
                  <c:x val="-2.5533121918842852E-3"/>
                  <c:y val="1.822405118896652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BE-4716-95F0-9B6C7D9F444B}"/>
                </c:ext>
              </c:extLst>
            </c:dLbl>
            <c:numFmt formatCode="0%;\(0%\)" sourceLinked="0"/>
            <c:spPr>
              <a:noFill/>
              <a:ln>
                <a:noFill/>
              </a:ln>
              <a:effectLst/>
            </c:spPr>
            <c:txPr>
              <a:bodyPr wrap="square" lIns="0" tIns="0" rIns="0" bIns="0" anchor="ctr">
                <a:spAutoFit/>
              </a:bodyPr>
              <a:lstStyle/>
              <a:p>
                <a:pPr>
                  <a:defRPr sz="800" b="0">
                    <a:solidFill>
                      <a:schemeClr val="accent5"/>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multiLvlStrRef>
              <c:f>Quarters!$AL$4:$AM$33</c:f>
              <c:multiLvlStrCache>
                <c:ptCount val="28"/>
                <c:lvl>
                  <c:pt idx="0">
                    <c:v>Q3</c:v>
                  </c:pt>
                  <c:pt idx="1">
                    <c:v>Q4</c:v>
                  </c:pt>
                  <c:pt idx="2">
                    <c:v>Q1</c:v>
                  </c:pt>
                  <c:pt idx="3">
                    <c:v>Q2</c:v>
                  </c:pt>
                  <c:pt idx="4">
                    <c:v>Q3</c:v>
                  </c:pt>
                  <c:pt idx="5">
                    <c:v>Q4</c:v>
                  </c:pt>
                  <c:pt idx="6">
                    <c:v>Q1</c:v>
                  </c:pt>
                  <c:pt idx="7">
                    <c:v>Q2</c:v>
                  </c:pt>
                  <c:pt idx="8">
                    <c:v>Q3</c:v>
                  </c:pt>
                  <c:pt idx="9">
                    <c:v>Q4</c:v>
                  </c:pt>
                  <c:pt idx="10">
                    <c:v>Q1</c:v>
                  </c:pt>
                  <c:pt idx="11">
                    <c:v>Q2</c:v>
                  </c:pt>
                  <c:pt idx="12">
                    <c:v>Q3</c:v>
                  </c:pt>
                  <c:pt idx="13">
                    <c:v>Q4</c:v>
                  </c:pt>
                  <c:pt idx="14">
                    <c:v>Q1</c:v>
                  </c:pt>
                  <c:pt idx="15">
                    <c:v>Q2</c:v>
                  </c:pt>
                  <c:pt idx="16">
                    <c:v>Q3</c:v>
                  </c:pt>
                  <c:pt idx="17">
                    <c:v>Q4</c:v>
                  </c:pt>
                  <c:pt idx="18">
                    <c:v>Q1</c:v>
                  </c:pt>
                  <c:pt idx="19">
                    <c:v>Q2</c:v>
                  </c:pt>
                  <c:pt idx="20">
                    <c:v>Q3</c:v>
                  </c:pt>
                  <c:pt idx="21">
                    <c:v>Q4</c:v>
                  </c:pt>
                  <c:pt idx="22">
                    <c:v>Q1</c:v>
                  </c:pt>
                  <c:pt idx="23">
                    <c:v>Q2</c:v>
                  </c:pt>
                  <c:pt idx="24">
                    <c:v>Q3</c:v>
                  </c:pt>
                  <c:pt idx="25">
                    <c:v>Q4</c:v>
                  </c:pt>
                  <c:pt idx="26">
                    <c:v>Q1</c:v>
                  </c:pt>
                  <c:pt idx="27">
                    <c:v>Q2</c:v>
                  </c:pt>
                </c:lvl>
                <c:lvl>
                  <c:pt idx="2">
                    <c:v>FY17</c:v>
                  </c:pt>
                  <c:pt idx="6">
                    <c:v>FY18</c:v>
                  </c:pt>
                  <c:pt idx="10">
                    <c:v>FY19</c:v>
                  </c:pt>
                  <c:pt idx="14">
                    <c:v>FY20</c:v>
                  </c:pt>
                  <c:pt idx="18">
                    <c:v>FY21</c:v>
                  </c:pt>
                  <c:pt idx="22">
                    <c:v>FY22</c:v>
                  </c:pt>
                  <c:pt idx="26">
                    <c:v>FY23</c:v>
                  </c:pt>
                </c:lvl>
              </c:multiLvlStrCache>
            </c:multiLvlStrRef>
          </c:cat>
          <c:val>
            <c:numRef>
              <c:f>Quarters!$C$4:$C$33</c:f>
              <c:numCache>
                <c:formatCode>0%;[Red]\(0%\)</c:formatCode>
                <c:ptCount val="28"/>
                <c:pt idx="0">
                  <c:v>0.03</c:v>
                </c:pt>
                <c:pt idx="1">
                  <c:v>0.06</c:v>
                </c:pt>
                <c:pt idx="2">
                  <c:v>7.0000000000000007E-2</c:v>
                </c:pt>
                <c:pt idx="3">
                  <c:v>0.11</c:v>
                </c:pt>
                <c:pt idx="4">
                  <c:v>0.15</c:v>
                </c:pt>
                <c:pt idx="5">
                  <c:v>0.12</c:v>
                </c:pt>
                <c:pt idx="6">
                  <c:v>0.13</c:v>
                </c:pt>
                <c:pt idx="7">
                  <c:v>0.14000000000000001</c:v>
                </c:pt>
                <c:pt idx="8">
                  <c:v>0.12</c:v>
                </c:pt>
                <c:pt idx="9">
                  <c:v>0.14000000000000001</c:v>
                </c:pt>
                <c:pt idx="10">
                  <c:v>7.0000000000000007E-2</c:v>
                </c:pt>
                <c:pt idx="11">
                  <c:v>0.08</c:v>
                </c:pt>
                <c:pt idx="12">
                  <c:v>0.03</c:v>
                </c:pt>
                <c:pt idx="13">
                  <c:v>-0.03</c:v>
                </c:pt>
                <c:pt idx="14">
                  <c:v>-0.02</c:v>
                </c:pt>
                <c:pt idx="15">
                  <c:v>-7.0000000000000007E-2</c:v>
                </c:pt>
                <c:pt idx="16">
                  <c:v>-7.0000000000000007E-2</c:v>
                </c:pt>
                <c:pt idx="17">
                  <c:v>-0.28000000000000003</c:v>
                </c:pt>
                <c:pt idx="18">
                  <c:v>-0.26</c:v>
                </c:pt>
                <c:pt idx="19">
                  <c:v>-0.19</c:v>
                </c:pt>
                <c:pt idx="20">
                  <c:v>-0.13</c:v>
                </c:pt>
                <c:pt idx="21">
                  <c:v>0.28000000000000003</c:v>
                </c:pt>
                <c:pt idx="22">
                  <c:v>0.34</c:v>
                </c:pt>
                <c:pt idx="23">
                  <c:v>0.31</c:v>
                </c:pt>
                <c:pt idx="24">
                  <c:v>0.24</c:v>
                </c:pt>
                <c:pt idx="25">
                  <c:v>0.12</c:v>
                </c:pt>
                <c:pt idx="26">
                  <c:v>0.03</c:v>
                </c:pt>
                <c:pt idx="27">
                  <c:v>-0.04</c:v>
                </c:pt>
              </c:numCache>
            </c:numRef>
          </c:val>
          <c:smooth val="0"/>
          <c:extLst>
            <c:ext xmlns:c16="http://schemas.microsoft.com/office/drawing/2014/chart" uri="{C3380CC4-5D6E-409C-BE32-E72D297353CC}">
              <c16:uniqueId val="{00000006-BEBC-4D3A-B7B1-A68358E95162}"/>
            </c:ext>
          </c:extLst>
        </c:ser>
        <c:dLbls>
          <c:showLegendKey val="0"/>
          <c:showVal val="0"/>
          <c:showCatName val="0"/>
          <c:showSerName val="0"/>
          <c:showPercent val="0"/>
          <c:showBubbleSize val="0"/>
        </c:dLbls>
        <c:marker val="1"/>
        <c:smooth val="0"/>
        <c:axId val="347334952"/>
        <c:axId val="347335344"/>
      </c:lineChart>
      <c:catAx>
        <c:axId val="347334952"/>
        <c:scaling>
          <c:orientation val="minMax"/>
        </c:scaling>
        <c:delete val="0"/>
        <c:axPos val="b"/>
        <c:numFmt formatCode="General" sourceLinked="1"/>
        <c:majorTickMark val="none"/>
        <c:minorTickMark val="none"/>
        <c:tickLblPos val="low"/>
        <c:spPr>
          <a:noFill/>
          <a:ln w="19050" cap="flat" cmpd="sng" algn="ctr">
            <a:solidFill>
              <a:schemeClr val="bg1">
                <a:lumMod val="65000"/>
              </a:schemeClr>
            </a:solidFill>
            <a:round/>
          </a:ln>
          <a:effectLst/>
        </c:spPr>
        <c:txPr>
          <a:bodyPr rot="-60000000" spcFirstLastPara="1" vertOverflow="ellipsis" vert="horz" wrap="square" anchor="ctr" anchorCtr="1"/>
          <a:lstStyle/>
          <a:p>
            <a:pPr>
              <a:defRPr sz="7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47335344"/>
        <c:crosses val="autoZero"/>
        <c:auto val="1"/>
        <c:lblAlgn val="ctr"/>
        <c:lblOffset val="50"/>
        <c:noMultiLvlLbl val="0"/>
      </c:catAx>
      <c:valAx>
        <c:axId val="347335344"/>
        <c:scaling>
          <c:orientation val="minMax"/>
          <c:max val="0.45"/>
          <c:min val="-0.45"/>
        </c:scaling>
        <c:delete val="1"/>
        <c:axPos val="l"/>
        <c:numFmt formatCode="0%;[Red]\(0%\)" sourceLinked="1"/>
        <c:majorTickMark val="out"/>
        <c:minorTickMark val="none"/>
        <c:tickLblPos val="nextTo"/>
        <c:crossAx val="347334952"/>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233143399810067E-3"/>
          <c:y val="0"/>
          <c:w val="0.992153371320038"/>
          <c:h val="0.83893957115009743"/>
        </c:manualLayout>
      </c:layout>
      <c:lineChart>
        <c:grouping val="standard"/>
        <c:varyColors val="0"/>
        <c:ser>
          <c:idx val="0"/>
          <c:order val="0"/>
          <c:tx>
            <c:strRef>
              <c:f>Quarters!$E$3</c:f>
              <c:strCache>
                <c:ptCount val="1"/>
                <c:pt idx="0">
                  <c:v>UK &amp; Ireland</c:v>
                </c:pt>
              </c:strCache>
            </c:strRef>
          </c:tx>
          <c:spPr>
            <a:ln>
              <a:solidFill>
                <a:schemeClr val="accent3"/>
              </a:solidFill>
            </a:ln>
          </c:spPr>
          <c:marker>
            <c:symbol val="circle"/>
            <c:size val="5"/>
            <c:spPr>
              <a:solidFill>
                <a:schemeClr val="accent3"/>
              </a:solidFill>
              <a:ln w="9525">
                <a:solidFill>
                  <a:schemeClr val="accent3"/>
                </a:solidFill>
              </a:ln>
              <a:effectLst/>
            </c:spPr>
          </c:marker>
          <c:dLbls>
            <c:dLbl>
              <c:idx val="0"/>
              <c:layout>
                <c:manualLayout>
                  <c:x val="1.1938300250179063E-3"/>
                  <c:y val="-4.5678661083652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38-47AA-89B9-D168EB4084D8}"/>
                </c:ext>
              </c:extLst>
            </c:dLbl>
            <c:dLbl>
              <c:idx val="1"/>
              <c:layout>
                <c:manualLayout>
                  <c:x val="-3.9698649254281605E-2"/>
                  <c:y val="4.3857718735915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38-47AA-89B9-D168EB4084D8}"/>
                </c:ext>
              </c:extLst>
            </c:dLbl>
            <c:dLbl>
              <c:idx val="2"/>
              <c:layout>
                <c:manualLayout>
                  <c:x val="-2.0501984126984128E-3"/>
                  <c:y val="-6.63978956061034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91-4AA6-9F39-8CC0D367FEDC}"/>
                </c:ext>
              </c:extLst>
            </c:dLbl>
            <c:dLbl>
              <c:idx val="6"/>
              <c:layout>
                <c:manualLayout>
                  <c:x val="-4.34571375082968E-2"/>
                  <c:y val="5.59642347651915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31-490D-87E3-BA5078CD0272}"/>
                </c:ext>
              </c:extLst>
            </c:dLbl>
            <c:dLbl>
              <c:idx val="7"/>
              <c:layout>
                <c:manualLayout>
                  <c:x val="-2.9056066442393332E-2"/>
                  <c:y val="5.2104969543763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E31-490D-87E3-BA5078CD0272}"/>
                </c:ext>
              </c:extLst>
            </c:dLbl>
            <c:dLbl>
              <c:idx val="23"/>
              <c:layout>
                <c:manualLayout>
                  <c:x val="-7.4901587301587413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1B-4013-B6CE-E886559F3936}"/>
                </c:ext>
              </c:extLst>
            </c:dLbl>
            <c:dLbl>
              <c:idx val="24"/>
              <c:layout>
                <c:manualLayout>
                  <c:x val="-4.7755470208143053E-2"/>
                  <c:y val="4.551298353044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94-4D13-8328-D87836A5247B}"/>
                </c:ext>
              </c:extLst>
            </c:dLbl>
            <c:dLbl>
              <c:idx val="25"/>
              <c:layout>
                <c:manualLayout>
                  <c:x val="-1.6097530535022379E-2"/>
                  <c:y val="-5.84695724864474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E65-4D2B-A10C-BFE21DEBAD76}"/>
                </c:ext>
              </c:extLst>
            </c:dLbl>
            <c:dLbl>
              <c:idx val="26"/>
              <c:layout>
                <c:manualLayout>
                  <c:x val="1.1938300250179063E-3"/>
                  <c:y val="-4.5678661083652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65-4D2B-A10C-BFE21DEBAD76}"/>
                </c:ext>
              </c:extLst>
            </c:dLbl>
            <c:dLbl>
              <c:idx val="27"/>
              <c:layout>
                <c:manualLayout>
                  <c:x val="-3.9698649254281605E-2"/>
                  <c:y val="4.3857718735915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65-4D2B-A10C-BFE21DEBAD76}"/>
                </c:ext>
              </c:extLst>
            </c:dLbl>
            <c:dLbl>
              <c:idx val="28"/>
              <c:layout>
                <c:manualLayout>
                  <c:x val="-2.0501984126984128E-3"/>
                  <c:y val="-6.63978956061034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61-4001-95D9-F607A627DE64}"/>
                </c:ext>
              </c:extLst>
            </c:dLbl>
            <c:numFmt formatCode="0%;\(0%\)" sourceLinked="0"/>
            <c:spPr>
              <a:noFill/>
              <a:ln>
                <a:noFill/>
              </a:ln>
              <a:effectLst/>
            </c:spPr>
            <c:txPr>
              <a:bodyPr wrap="square" lIns="0" tIns="0" rIns="0" bIns="0" anchor="ctr">
                <a:spAutoFit/>
              </a:bodyPr>
              <a:lstStyle/>
              <a:p>
                <a:pPr>
                  <a:defRPr sz="800" b="0">
                    <a:solidFill>
                      <a:schemeClr val="accent3"/>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multiLvlStrRef>
              <c:f>Quarters!$AL$4:$AM$33</c:f>
              <c:multiLvlStrCache>
                <c:ptCount val="28"/>
                <c:lvl>
                  <c:pt idx="0">
                    <c:v>Q3</c:v>
                  </c:pt>
                  <c:pt idx="1">
                    <c:v>Q4</c:v>
                  </c:pt>
                  <c:pt idx="2">
                    <c:v>Q1</c:v>
                  </c:pt>
                  <c:pt idx="3">
                    <c:v>Q2</c:v>
                  </c:pt>
                  <c:pt idx="4">
                    <c:v>Q3</c:v>
                  </c:pt>
                  <c:pt idx="5">
                    <c:v>Q4</c:v>
                  </c:pt>
                  <c:pt idx="6">
                    <c:v>Q1</c:v>
                  </c:pt>
                  <c:pt idx="7">
                    <c:v>Q2</c:v>
                  </c:pt>
                  <c:pt idx="8">
                    <c:v>Q3</c:v>
                  </c:pt>
                  <c:pt idx="9">
                    <c:v>Q4</c:v>
                  </c:pt>
                  <c:pt idx="10">
                    <c:v>Q1</c:v>
                  </c:pt>
                  <c:pt idx="11">
                    <c:v>Q2</c:v>
                  </c:pt>
                  <c:pt idx="12">
                    <c:v>Q3</c:v>
                  </c:pt>
                  <c:pt idx="13">
                    <c:v>Q4</c:v>
                  </c:pt>
                  <c:pt idx="14">
                    <c:v>Q1</c:v>
                  </c:pt>
                  <c:pt idx="15">
                    <c:v>Q2</c:v>
                  </c:pt>
                  <c:pt idx="16">
                    <c:v>Q3</c:v>
                  </c:pt>
                  <c:pt idx="17">
                    <c:v>Q4</c:v>
                  </c:pt>
                  <c:pt idx="18">
                    <c:v>Q1</c:v>
                  </c:pt>
                  <c:pt idx="19">
                    <c:v>Q2</c:v>
                  </c:pt>
                  <c:pt idx="20">
                    <c:v>Q3</c:v>
                  </c:pt>
                  <c:pt idx="21">
                    <c:v>Q4</c:v>
                  </c:pt>
                  <c:pt idx="22">
                    <c:v>Q1</c:v>
                  </c:pt>
                  <c:pt idx="23">
                    <c:v>Q2</c:v>
                  </c:pt>
                  <c:pt idx="24">
                    <c:v>Q3</c:v>
                  </c:pt>
                  <c:pt idx="25">
                    <c:v>Q4</c:v>
                  </c:pt>
                  <c:pt idx="26">
                    <c:v>Q1</c:v>
                  </c:pt>
                  <c:pt idx="27">
                    <c:v>Q2</c:v>
                  </c:pt>
                </c:lvl>
                <c:lvl>
                  <c:pt idx="2">
                    <c:v>FY17</c:v>
                  </c:pt>
                  <c:pt idx="6">
                    <c:v>FY18</c:v>
                  </c:pt>
                  <c:pt idx="10">
                    <c:v>FY19</c:v>
                  </c:pt>
                  <c:pt idx="14">
                    <c:v>FY20</c:v>
                  </c:pt>
                  <c:pt idx="18">
                    <c:v>FY21</c:v>
                  </c:pt>
                  <c:pt idx="22">
                    <c:v>FY22</c:v>
                  </c:pt>
                  <c:pt idx="26">
                    <c:v>FY23</c:v>
                  </c:pt>
                </c:lvl>
              </c:multiLvlStrCache>
            </c:multiLvlStrRef>
          </c:cat>
          <c:val>
            <c:numRef>
              <c:f>Quarters!$E$4:$E$33</c:f>
              <c:numCache>
                <c:formatCode>0%;[Red]\(0%\)</c:formatCode>
                <c:ptCount val="28"/>
                <c:pt idx="0">
                  <c:v>-0.03</c:v>
                </c:pt>
                <c:pt idx="1">
                  <c:v>-0.04</c:v>
                </c:pt>
                <c:pt idx="2">
                  <c:v>-0.1</c:v>
                </c:pt>
                <c:pt idx="3">
                  <c:v>-0.1</c:v>
                </c:pt>
                <c:pt idx="4">
                  <c:v>-0.04</c:v>
                </c:pt>
                <c:pt idx="5">
                  <c:v>-0.05</c:v>
                </c:pt>
                <c:pt idx="6">
                  <c:v>0.01</c:v>
                </c:pt>
                <c:pt idx="7">
                  <c:v>0.01</c:v>
                </c:pt>
                <c:pt idx="8">
                  <c:v>-0.02</c:v>
                </c:pt>
                <c:pt idx="9">
                  <c:v>0.05</c:v>
                </c:pt>
                <c:pt idx="10">
                  <c:v>0.03</c:v>
                </c:pt>
                <c:pt idx="11">
                  <c:v>0.03</c:v>
                </c:pt>
                <c:pt idx="12">
                  <c:v>0.03</c:v>
                </c:pt>
                <c:pt idx="13">
                  <c:v>-0.02</c:v>
                </c:pt>
                <c:pt idx="14">
                  <c:v>-0.04</c:v>
                </c:pt>
                <c:pt idx="15">
                  <c:v>-0.04</c:v>
                </c:pt>
                <c:pt idx="16">
                  <c:v>-7.0000000000000007E-2</c:v>
                </c:pt>
                <c:pt idx="17">
                  <c:v>-0.42</c:v>
                </c:pt>
                <c:pt idx="18">
                  <c:v>-0.34</c:v>
                </c:pt>
                <c:pt idx="19">
                  <c:v>-0.2</c:v>
                </c:pt>
                <c:pt idx="20">
                  <c:v>-0.14000000000000001</c:v>
                </c:pt>
                <c:pt idx="21">
                  <c:v>0.48</c:v>
                </c:pt>
                <c:pt idx="22">
                  <c:v>0.45</c:v>
                </c:pt>
                <c:pt idx="23">
                  <c:v>0.33</c:v>
                </c:pt>
                <c:pt idx="24">
                  <c:v>0.28999999999999998</c:v>
                </c:pt>
                <c:pt idx="25">
                  <c:v>0.22</c:v>
                </c:pt>
                <c:pt idx="26">
                  <c:v>0.11</c:v>
                </c:pt>
                <c:pt idx="27">
                  <c:v>0.04</c:v>
                </c:pt>
              </c:numCache>
            </c:numRef>
          </c:val>
          <c:smooth val="0"/>
          <c:extLst>
            <c:ext xmlns:c16="http://schemas.microsoft.com/office/drawing/2014/chart" uri="{C3380CC4-5D6E-409C-BE32-E72D297353CC}">
              <c16:uniqueId val="{0000000F-6E31-490D-87E3-BA5078CD0272}"/>
            </c:ext>
          </c:extLst>
        </c:ser>
        <c:dLbls>
          <c:showLegendKey val="0"/>
          <c:showVal val="0"/>
          <c:showCatName val="0"/>
          <c:showSerName val="0"/>
          <c:showPercent val="0"/>
          <c:showBubbleSize val="0"/>
        </c:dLbls>
        <c:marker val="1"/>
        <c:smooth val="0"/>
        <c:axId val="347334952"/>
        <c:axId val="347335344"/>
      </c:lineChart>
      <c:catAx>
        <c:axId val="347334952"/>
        <c:scaling>
          <c:orientation val="minMax"/>
        </c:scaling>
        <c:delete val="0"/>
        <c:axPos val="b"/>
        <c:numFmt formatCode="General" sourceLinked="1"/>
        <c:majorTickMark val="none"/>
        <c:minorTickMark val="none"/>
        <c:tickLblPos val="low"/>
        <c:spPr>
          <a:noFill/>
          <a:ln w="19050" cap="flat" cmpd="sng" algn="ctr">
            <a:solidFill>
              <a:schemeClr val="bg1">
                <a:lumMod val="65000"/>
              </a:schemeClr>
            </a:solidFill>
            <a:round/>
          </a:ln>
          <a:effectLst/>
        </c:spPr>
        <c:txPr>
          <a:bodyPr rot="-60000000" spcFirstLastPara="1" vertOverflow="ellipsis" vert="horz" wrap="square" anchor="ctr" anchorCtr="1"/>
          <a:lstStyle/>
          <a:p>
            <a:pPr>
              <a:defRPr sz="7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47335344"/>
        <c:crosses val="autoZero"/>
        <c:auto val="1"/>
        <c:lblAlgn val="ctr"/>
        <c:lblOffset val="50"/>
        <c:noMultiLvlLbl val="0"/>
      </c:catAx>
      <c:valAx>
        <c:axId val="347335344"/>
        <c:scaling>
          <c:orientation val="minMax"/>
          <c:max val="0.5"/>
          <c:min val="-0.45"/>
        </c:scaling>
        <c:delete val="1"/>
        <c:axPos val="l"/>
        <c:numFmt formatCode="0%;[Red]\(0%\)" sourceLinked="1"/>
        <c:majorTickMark val="out"/>
        <c:minorTickMark val="none"/>
        <c:tickLblPos val="nextTo"/>
        <c:crossAx val="347334952"/>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233143399810067E-3"/>
          <c:y val="0"/>
          <c:w val="0.992153371320038"/>
          <c:h val="0.83893957115009743"/>
        </c:manualLayout>
      </c:layout>
      <c:lineChart>
        <c:grouping val="standard"/>
        <c:varyColors val="0"/>
        <c:ser>
          <c:idx val="0"/>
          <c:order val="0"/>
          <c:tx>
            <c:strRef>
              <c:f>Quarters!$F$3</c:f>
              <c:strCache>
                <c:ptCount val="1"/>
                <c:pt idx="0">
                  <c:v>Rest of World</c:v>
                </c:pt>
              </c:strCache>
            </c:strRef>
          </c:tx>
          <c:spPr>
            <a:ln>
              <a:solidFill>
                <a:schemeClr val="accent2"/>
              </a:solidFill>
            </a:ln>
          </c:spPr>
          <c:marker>
            <c:symbol val="circle"/>
            <c:size val="5"/>
            <c:spPr>
              <a:solidFill>
                <a:schemeClr val="accent2"/>
              </a:solidFill>
              <a:ln w="9525">
                <a:solidFill>
                  <a:schemeClr val="accent2"/>
                </a:solidFill>
              </a:ln>
              <a:effectLst/>
            </c:spPr>
          </c:marker>
          <c:dLbls>
            <c:dLbl>
              <c:idx val="1"/>
              <c:layout>
                <c:manualLayout>
                  <c:x val="-4.1494444444444445E-2"/>
                  <c:y val="4.38575193781666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1F-4242-9BBE-7A1A4EFC7EC7}"/>
                </c:ext>
              </c:extLst>
            </c:dLbl>
            <c:dLbl>
              <c:idx val="9"/>
              <c:layout>
                <c:manualLayout>
                  <c:x val="-3.6265532879818596E-2"/>
                  <c:y val="-5.07066967500557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B0-45FA-819F-7C9214EAA95D}"/>
                </c:ext>
              </c:extLst>
            </c:dLbl>
            <c:dLbl>
              <c:idx val="10"/>
              <c:layout>
                <c:manualLayout>
                  <c:x val="-3.9145351473922903E-2"/>
                  <c:y val="4.34281248759627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7E-43B2-93DA-1D8B7163740A}"/>
                </c:ext>
              </c:extLst>
            </c:dLbl>
            <c:dLbl>
              <c:idx val="20"/>
              <c:layout>
                <c:manualLayout>
                  <c:x val="-3.6361552818639273E-2"/>
                  <c:y val="5.40976452255037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08-46B1-8DB0-9D900BB94FC3}"/>
                </c:ext>
              </c:extLst>
            </c:dLbl>
            <c:dLbl>
              <c:idx val="22"/>
              <c:layout>
                <c:manualLayout>
                  <c:x val="-2.2754166666666666E-2"/>
                  <c:y val="5.3305229385842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08-46B1-8DB0-9D900BB94FC3}"/>
                </c:ext>
              </c:extLst>
            </c:dLbl>
            <c:dLbl>
              <c:idx val="23"/>
              <c:layout>
                <c:manualLayout>
                  <c:x val="-7.1428798185941153E-2"/>
                  <c:y val="-9.413899341312283E-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08-46B1-8DB0-9D900BB94FC3}"/>
                </c:ext>
              </c:extLst>
            </c:dLbl>
            <c:dLbl>
              <c:idx val="24"/>
              <c:layout>
                <c:manualLayout>
                  <c:x val="-3.9117959074844132E-2"/>
                  <c:y val="3.32180976288973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9-4D7D-AF6B-1A9C3516E037}"/>
                </c:ext>
              </c:extLst>
            </c:dLbl>
            <c:dLbl>
              <c:idx val="25"/>
              <c:layout>
                <c:manualLayout>
                  <c:x val="-3.9124263038548858E-2"/>
                  <c:y val="5.238122839940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9-4D7D-AF6B-1A9C3516E037}"/>
                </c:ext>
              </c:extLst>
            </c:dLbl>
            <c:dLbl>
              <c:idx val="27"/>
              <c:layout>
                <c:manualLayout>
                  <c:x val="-4.1494444444444445E-2"/>
                  <c:y val="4.38575193781666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93-49DD-ABB3-6F56FE94AC40}"/>
                </c:ext>
              </c:extLst>
            </c:dLbl>
            <c:numFmt formatCode="0%;\(0%\)" sourceLinked="0"/>
            <c:spPr>
              <a:noFill/>
              <a:ln>
                <a:noFill/>
              </a:ln>
              <a:effectLst/>
            </c:spPr>
            <c:txPr>
              <a:bodyPr wrap="square" lIns="0" tIns="0" rIns="0" bIns="0" anchor="ctr">
                <a:spAutoFit/>
              </a:bodyPr>
              <a:lstStyle/>
              <a:p>
                <a:pPr>
                  <a:defRPr sz="800" b="0">
                    <a:solidFill>
                      <a:schemeClr val="accent2"/>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multiLvlStrRef>
              <c:f>Quarters!$AL$4:$AM$33</c:f>
              <c:multiLvlStrCache>
                <c:ptCount val="28"/>
                <c:lvl>
                  <c:pt idx="0">
                    <c:v>Q3</c:v>
                  </c:pt>
                  <c:pt idx="1">
                    <c:v>Q4</c:v>
                  </c:pt>
                  <c:pt idx="2">
                    <c:v>Q1</c:v>
                  </c:pt>
                  <c:pt idx="3">
                    <c:v>Q2</c:v>
                  </c:pt>
                  <c:pt idx="4">
                    <c:v>Q3</c:v>
                  </c:pt>
                  <c:pt idx="5">
                    <c:v>Q4</c:v>
                  </c:pt>
                  <c:pt idx="6">
                    <c:v>Q1</c:v>
                  </c:pt>
                  <c:pt idx="7">
                    <c:v>Q2</c:v>
                  </c:pt>
                  <c:pt idx="8">
                    <c:v>Q3</c:v>
                  </c:pt>
                  <c:pt idx="9">
                    <c:v>Q4</c:v>
                  </c:pt>
                  <c:pt idx="10">
                    <c:v>Q1</c:v>
                  </c:pt>
                  <c:pt idx="11">
                    <c:v>Q2</c:v>
                  </c:pt>
                  <c:pt idx="12">
                    <c:v>Q3</c:v>
                  </c:pt>
                  <c:pt idx="13">
                    <c:v>Q4</c:v>
                  </c:pt>
                  <c:pt idx="14">
                    <c:v>Q1</c:v>
                  </c:pt>
                  <c:pt idx="15">
                    <c:v>Q2</c:v>
                  </c:pt>
                  <c:pt idx="16">
                    <c:v>Q3</c:v>
                  </c:pt>
                  <c:pt idx="17">
                    <c:v>Q4</c:v>
                  </c:pt>
                  <c:pt idx="18">
                    <c:v>Q1</c:v>
                  </c:pt>
                  <c:pt idx="19">
                    <c:v>Q2</c:v>
                  </c:pt>
                  <c:pt idx="20">
                    <c:v>Q3</c:v>
                  </c:pt>
                  <c:pt idx="21">
                    <c:v>Q4</c:v>
                  </c:pt>
                  <c:pt idx="22">
                    <c:v>Q1</c:v>
                  </c:pt>
                  <c:pt idx="23">
                    <c:v>Q2</c:v>
                  </c:pt>
                  <c:pt idx="24">
                    <c:v>Q3</c:v>
                  </c:pt>
                  <c:pt idx="25">
                    <c:v>Q4</c:v>
                  </c:pt>
                  <c:pt idx="26">
                    <c:v>Q1</c:v>
                  </c:pt>
                  <c:pt idx="27">
                    <c:v>Q2</c:v>
                  </c:pt>
                </c:lvl>
                <c:lvl>
                  <c:pt idx="2">
                    <c:v>FY17</c:v>
                  </c:pt>
                  <c:pt idx="6">
                    <c:v>FY18</c:v>
                  </c:pt>
                  <c:pt idx="10">
                    <c:v>FY19</c:v>
                  </c:pt>
                  <c:pt idx="14">
                    <c:v>FY20</c:v>
                  </c:pt>
                  <c:pt idx="18">
                    <c:v>FY21</c:v>
                  </c:pt>
                  <c:pt idx="22">
                    <c:v>FY22</c:v>
                  </c:pt>
                  <c:pt idx="26">
                    <c:v>FY23</c:v>
                  </c:pt>
                </c:lvl>
              </c:multiLvlStrCache>
            </c:multiLvlStrRef>
          </c:cat>
          <c:val>
            <c:numRef>
              <c:f>Quarters!$F$4:$F$33</c:f>
              <c:numCache>
                <c:formatCode>0%;[Red]\(0%\)</c:formatCode>
                <c:ptCount val="28"/>
                <c:pt idx="0">
                  <c:v>0.14000000000000001</c:v>
                </c:pt>
                <c:pt idx="1">
                  <c:v>0.14000000000000001</c:v>
                </c:pt>
                <c:pt idx="2">
                  <c:v>0.1</c:v>
                </c:pt>
                <c:pt idx="3">
                  <c:v>0.05</c:v>
                </c:pt>
                <c:pt idx="4">
                  <c:v>0.11</c:v>
                </c:pt>
                <c:pt idx="5">
                  <c:v>7.0000000000000007E-2</c:v>
                </c:pt>
                <c:pt idx="6">
                  <c:v>0.12</c:v>
                </c:pt>
                <c:pt idx="7">
                  <c:v>0.17</c:v>
                </c:pt>
                <c:pt idx="8">
                  <c:v>0.15</c:v>
                </c:pt>
                <c:pt idx="9">
                  <c:v>0.23</c:v>
                </c:pt>
                <c:pt idx="10">
                  <c:v>0.14000000000000001</c:v>
                </c:pt>
                <c:pt idx="11">
                  <c:v>0.1</c:v>
                </c:pt>
                <c:pt idx="12">
                  <c:v>0.09</c:v>
                </c:pt>
                <c:pt idx="13">
                  <c:v>0.02</c:v>
                </c:pt>
                <c:pt idx="14">
                  <c:v>0.04</c:v>
                </c:pt>
                <c:pt idx="15">
                  <c:v>0.01</c:v>
                </c:pt>
                <c:pt idx="16">
                  <c:v>-0.04</c:v>
                </c:pt>
                <c:pt idx="17">
                  <c:v>-0.31</c:v>
                </c:pt>
                <c:pt idx="18">
                  <c:v>-0.27</c:v>
                </c:pt>
                <c:pt idx="19">
                  <c:v>-0.16</c:v>
                </c:pt>
                <c:pt idx="20">
                  <c:v>-0.08</c:v>
                </c:pt>
                <c:pt idx="21">
                  <c:v>0.41</c:v>
                </c:pt>
                <c:pt idx="22">
                  <c:v>0.45</c:v>
                </c:pt>
                <c:pt idx="23">
                  <c:v>0.41</c:v>
                </c:pt>
                <c:pt idx="24">
                  <c:v>0.36</c:v>
                </c:pt>
                <c:pt idx="25">
                  <c:v>0.24</c:v>
                </c:pt>
                <c:pt idx="26">
                  <c:v>0.16</c:v>
                </c:pt>
                <c:pt idx="27">
                  <c:v>0.06</c:v>
                </c:pt>
              </c:numCache>
            </c:numRef>
          </c:val>
          <c:smooth val="0"/>
          <c:extLst>
            <c:ext xmlns:c16="http://schemas.microsoft.com/office/drawing/2014/chart" uri="{C3380CC4-5D6E-409C-BE32-E72D297353CC}">
              <c16:uniqueId val="{00000009-037E-43B2-93DA-1D8B7163740A}"/>
            </c:ext>
          </c:extLst>
        </c:ser>
        <c:dLbls>
          <c:showLegendKey val="0"/>
          <c:showVal val="0"/>
          <c:showCatName val="0"/>
          <c:showSerName val="0"/>
          <c:showPercent val="0"/>
          <c:showBubbleSize val="0"/>
        </c:dLbls>
        <c:marker val="1"/>
        <c:smooth val="0"/>
        <c:axId val="347334952"/>
        <c:axId val="347335344"/>
      </c:lineChart>
      <c:catAx>
        <c:axId val="347334952"/>
        <c:scaling>
          <c:orientation val="minMax"/>
        </c:scaling>
        <c:delete val="0"/>
        <c:axPos val="b"/>
        <c:numFmt formatCode="General" sourceLinked="1"/>
        <c:majorTickMark val="none"/>
        <c:minorTickMark val="none"/>
        <c:tickLblPos val="low"/>
        <c:spPr>
          <a:noFill/>
          <a:ln w="19050" cap="flat" cmpd="sng" algn="ctr">
            <a:solidFill>
              <a:schemeClr val="bg1">
                <a:lumMod val="65000"/>
              </a:schemeClr>
            </a:solidFill>
            <a:round/>
          </a:ln>
          <a:effectLst/>
        </c:spPr>
        <c:txPr>
          <a:bodyPr rot="-60000000" spcFirstLastPara="1" vertOverflow="ellipsis" vert="horz" wrap="square" anchor="ctr" anchorCtr="1"/>
          <a:lstStyle/>
          <a:p>
            <a:pPr>
              <a:defRPr sz="7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47335344"/>
        <c:crosses val="autoZero"/>
        <c:auto val="1"/>
        <c:lblAlgn val="ctr"/>
        <c:lblOffset val="50"/>
        <c:noMultiLvlLbl val="0"/>
      </c:catAx>
      <c:valAx>
        <c:axId val="347335344"/>
        <c:scaling>
          <c:orientation val="minMax"/>
          <c:max val="0.45"/>
          <c:min val="-0.45"/>
        </c:scaling>
        <c:delete val="1"/>
        <c:axPos val="l"/>
        <c:numFmt formatCode="0%;[Red]\(0%\)" sourceLinked="1"/>
        <c:majorTickMark val="out"/>
        <c:minorTickMark val="none"/>
        <c:tickLblPos val="nextTo"/>
        <c:crossAx val="3473349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233143399810067E-3"/>
          <c:y val="0"/>
          <c:w val="0.992153371320038"/>
          <c:h val="0.83893957115009743"/>
        </c:manualLayout>
      </c:layout>
      <c:lineChart>
        <c:grouping val="standard"/>
        <c:varyColors val="0"/>
        <c:ser>
          <c:idx val="0"/>
          <c:order val="0"/>
          <c:tx>
            <c:strRef>
              <c:f>Quarters!$N$3</c:f>
              <c:strCache>
                <c:ptCount val="1"/>
                <c:pt idx="0">
                  <c:v>Temp</c:v>
                </c:pt>
              </c:strCache>
            </c:strRef>
          </c:tx>
          <c:spPr>
            <a:ln>
              <a:solidFill>
                <a:schemeClr val="accent4"/>
              </a:solidFill>
            </a:ln>
          </c:spPr>
          <c:marker>
            <c:symbol val="circle"/>
            <c:size val="5"/>
            <c:spPr>
              <a:solidFill>
                <a:schemeClr val="accent4"/>
              </a:solidFill>
              <a:ln w="9525">
                <a:solidFill>
                  <a:schemeClr val="accent4"/>
                </a:solidFill>
              </a:ln>
              <a:effectLst/>
            </c:spPr>
          </c:marker>
          <c:dLbls>
            <c:dLbl>
              <c:idx val="17"/>
              <c:layout>
                <c:manualLayout>
                  <c:x val="-4.6370572918144018E-2"/>
                  <c:y val="5.28627349526469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32-4EC1-9D50-83905EA9CEF1}"/>
                </c:ext>
              </c:extLst>
            </c:dLbl>
            <c:dLbl>
              <c:idx val="18"/>
              <c:layout>
                <c:manualLayout>
                  <c:x val="-5.7637868533467976E-3"/>
                  <c:y val="-1.2834317550322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32-4EC1-9D50-83905EA9CEF1}"/>
                </c:ext>
              </c:extLst>
            </c:dLbl>
            <c:dLbl>
              <c:idx val="19"/>
              <c:layout>
                <c:manualLayout>
                  <c:x val="-5.9380165992523069E-2"/>
                  <c:y val="4.7511734052728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32-4EC1-9D50-83905EA9CEF1}"/>
                </c:ext>
              </c:extLst>
            </c:dLbl>
            <c:dLbl>
              <c:idx val="20"/>
              <c:layout>
                <c:manualLayout>
                  <c:x val="-2.4833979111945674E-2"/>
                  <c:y val="4.3395151962867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B0-43A2-9772-866B0D7417D4}"/>
                </c:ext>
              </c:extLst>
            </c:dLbl>
            <c:dLbl>
              <c:idx val="21"/>
              <c:layout>
                <c:manualLayout>
                  <c:x val="-1.3306405405252186E-2"/>
                  <c:y val="4.98123107380288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B0-43A2-9772-866B0D7417D4}"/>
                </c:ext>
              </c:extLst>
            </c:dLbl>
            <c:dLbl>
              <c:idx val="22"/>
              <c:layout>
                <c:manualLayout>
                  <c:x val="-6.0240649447163286E-3"/>
                  <c:y val="-1.52495946326277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B0-43A2-9772-866B0D7417D4}"/>
                </c:ext>
              </c:extLst>
            </c:dLbl>
            <c:numFmt formatCode="#,##0%;\(#,##0%\)" sourceLinked="0"/>
            <c:spPr>
              <a:noFill/>
              <a:ln>
                <a:noFill/>
              </a:ln>
              <a:effectLst/>
            </c:spPr>
            <c:txPr>
              <a:bodyPr wrap="square" lIns="0" tIns="19050" rIns="0" bIns="19050" anchor="ctr">
                <a:spAutoFit/>
              </a:bodyPr>
              <a:lstStyle/>
              <a:p>
                <a:pPr>
                  <a:defRPr sz="800" b="0">
                    <a:solidFill>
                      <a:schemeClr val="accent4"/>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multiLvlStrRef>
              <c:f>Quarters!$AL$4:$AM$33</c:f>
              <c:multiLvlStrCache>
                <c:ptCount val="28"/>
                <c:lvl>
                  <c:pt idx="0">
                    <c:v>Q3</c:v>
                  </c:pt>
                  <c:pt idx="1">
                    <c:v>Q4</c:v>
                  </c:pt>
                  <c:pt idx="2">
                    <c:v>Q1</c:v>
                  </c:pt>
                  <c:pt idx="3">
                    <c:v>Q2</c:v>
                  </c:pt>
                  <c:pt idx="4">
                    <c:v>Q3</c:v>
                  </c:pt>
                  <c:pt idx="5">
                    <c:v>Q4</c:v>
                  </c:pt>
                  <c:pt idx="6">
                    <c:v>Q1</c:v>
                  </c:pt>
                  <c:pt idx="7">
                    <c:v>Q2</c:v>
                  </c:pt>
                  <c:pt idx="8">
                    <c:v>Q3</c:v>
                  </c:pt>
                  <c:pt idx="9">
                    <c:v>Q4</c:v>
                  </c:pt>
                  <c:pt idx="10">
                    <c:v>Q1</c:v>
                  </c:pt>
                  <c:pt idx="11">
                    <c:v>Q2</c:v>
                  </c:pt>
                  <c:pt idx="12">
                    <c:v>Q3</c:v>
                  </c:pt>
                  <c:pt idx="13">
                    <c:v>Q4</c:v>
                  </c:pt>
                  <c:pt idx="14">
                    <c:v>Q1</c:v>
                  </c:pt>
                  <c:pt idx="15">
                    <c:v>Q2</c:v>
                  </c:pt>
                  <c:pt idx="16">
                    <c:v>Q3</c:v>
                  </c:pt>
                  <c:pt idx="17">
                    <c:v>Q4</c:v>
                  </c:pt>
                  <c:pt idx="18">
                    <c:v>Q1</c:v>
                  </c:pt>
                  <c:pt idx="19">
                    <c:v>Q2</c:v>
                  </c:pt>
                  <c:pt idx="20">
                    <c:v>Q3</c:v>
                  </c:pt>
                  <c:pt idx="21">
                    <c:v>Q4</c:v>
                  </c:pt>
                  <c:pt idx="22">
                    <c:v>Q1</c:v>
                  </c:pt>
                  <c:pt idx="23">
                    <c:v>Q2</c:v>
                  </c:pt>
                  <c:pt idx="24">
                    <c:v>Q3</c:v>
                  </c:pt>
                  <c:pt idx="25">
                    <c:v>Q4</c:v>
                  </c:pt>
                  <c:pt idx="26">
                    <c:v>Q1</c:v>
                  </c:pt>
                  <c:pt idx="27">
                    <c:v>Q2</c:v>
                  </c:pt>
                </c:lvl>
                <c:lvl>
                  <c:pt idx="2">
                    <c:v>FY17</c:v>
                  </c:pt>
                  <c:pt idx="6">
                    <c:v>FY18</c:v>
                  </c:pt>
                  <c:pt idx="10">
                    <c:v>FY19</c:v>
                  </c:pt>
                  <c:pt idx="14">
                    <c:v>FY20</c:v>
                  </c:pt>
                  <c:pt idx="18">
                    <c:v>FY21</c:v>
                  </c:pt>
                  <c:pt idx="22">
                    <c:v>FY22</c:v>
                  </c:pt>
                  <c:pt idx="26">
                    <c:v>FY23</c:v>
                  </c:pt>
                </c:lvl>
              </c:multiLvlStrCache>
            </c:multiLvlStrRef>
          </c:cat>
          <c:val>
            <c:numRef>
              <c:f>Quarters!$N$4:$N$33</c:f>
              <c:numCache>
                <c:formatCode>0%;[Red]\(0%\)</c:formatCode>
                <c:ptCount val="28"/>
                <c:pt idx="0">
                  <c:v>0.02</c:v>
                </c:pt>
                <c:pt idx="1">
                  <c:v>0.1</c:v>
                </c:pt>
                <c:pt idx="2">
                  <c:v>0.05</c:v>
                </c:pt>
                <c:pt idx="3">
                  <c:v>0.03</c:v>
                </c:pt>
                <c:pt idx="4">
                  <c:v>0.12</c:v>
                </c:pt>
                <c:pt idx="5">
                  <c:v>0.06</c:v>
                </c:pt>
                <c:pt idx="6">
                  <c:v>0.08</c:v>
                </c:pt>
                <c:pt idx="7">
                  <c:v>0.11</c:v>
                </c:pt>
                <c:pt idx="8">
                  <c:v>0.09</c:v>
                </c:pt>
                <c:pt idx="9">
                  <c:v>0.11</c:v>
                </c:pt>
                <c:pt idx="10">
                  <c:v>0.08</c:v>
                </c:pt>
                <c:pt idx="11">
                  <c:v>0.09</c:v>
                </c:pt>
                <c:pt idx="12">
                  <c:v>0.05</c:v>
                </c:pt>
                <c:pt idx="13">
                  <c:v>0</c:v>
                </c:pt>
                <c:pt idx="14">
                  <c:v>0</c:v>
                </c:pt>
                <c:pt idx="15">
                  <c:v>-0.03</c:v>
                </c:pt>
                <c:pt idx="16">
                  <c:v>-0.05</c:v>
                </c:pt>
                <c:pt idx="17">
                  <c:v>-0.26</c:v>
                </c:pt>
                <c:pt idx="18">
                  <c:v>-0.25</c:v>
                </c:pt>
                <c:pt idx="19">
                  <c:v>-0.13</c:v>
                </c:pt>
                <c:pt idx="20">
                  <c:v>-7.0000000000000007E-2</c:v>
                </c:pt>
                <c:pt idx="21">
                  <c:v>0.24</c:v>
                </c:pt>
                <c:pt idx="22">
                  <c:v>0.26</c:v>
                </c:pt>
                <c:pt idx="23">
                  <c:v>0.22</c:v>
                </c:pt>
                <c:pt idx="24">
                  <c:v>0.21</c:v>
                </c:pt>
                <c:pt idx="25">
                  <c:v>0.16</c:v>
                </c:pt>
                <c:pt idx="26">
                  <c:v>0.14000000000000001</c:v>
                </c:pt>
                <c:pt idx="27">
                  <c:v>0.09</c:v>
                </c:pt>
              </c:numCache>
            </c:numRef>
          </c:val>
          <c:smooth val="1"/>
          <c:extLst>
            <c:ext xmlns:c16="http://schemas.microsoft.com/office/drawing/2014/chart" uri="{C3380CC4-5D6E-409C-BE32-E72D297353CC}">
              <c16:uniqueId val="{0000000A-3F32-4EC1-9D50-83905EA9CEF1}"/>
            </c:ext>
          </c:extLst>
        </c:ser>
        <c:dLbls>
          <c:showLegendKey val="0"/>
          <c:showVal val="0"/>
          <c:showCatName val="0"/>
          <c:showSerName val="0"/>
          <c:showPercent val="0"/>
          <c:showBubbleSize val="0"/>
        </c:dLbls>
        <c:marker val="1"/>
        <c:smooth val="0"/>
        <c:axId val="347334952"/>
        <c:axId val="347335344"/>
      </c:lineChart>
      <c:catAx>
        <c:axId val="347334952"/>
        <c:scaling>
          <c:orientation val="minMax"/>
        </c:scaling>
        <c:delete val="0"/>
        <c:axPos val="b"/>
        <c:numFmt formatCode="General" sourceLinked="1"/>
        <c:majorTickMark val="none"/>
        <c:minorTickMark val="none"/>
        <c:tickLblPos val="low"/>
        <c:spPr>
          <a:noFill/>
          <a:ln w="19050" cap="flat" cmpd="sng" algn="ctr">
            <a:solidFill>
              <a:schemeClr val="bg1">
                <a:lumMod val="65000"/>
              </a:schemeClr>
            </a:solidFill>
            <a:round/>
          </a:ln>
          <a:effectLst/>
        </c:spPr>
        <c:txPr>
          <a:bodyPr rot="-60000000" spcFirstLastPara="1" vertOverflow="ellipsis" vert="horz" wrap="square" anchor="ctr" anchorCtr="1"/>
          <a:lstStyle/>
          <a:p>
            <a:pPr>
              <a:defRPr sz="7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47335344"/>
        <c:crosses val="autoZero"/>
        <c:auto val="1"/>
        <c:lblAlgn val="ctr"/>
        <c:lblOffset val="50"/>
        <c:noMultiLvlLbl val="0"/>
      </c:catAx>
      <c:valAx>
        <c:axId val="347335344"/>
        <c:scaling>
          <c:orientation val="minMax"/>
          <c:max val="0.70000000000000007"/>
          <c:min val="-0.45"/>
        </c:scaling>
        <c:delete val="1"/>
        <c:axPos val="l"/>
        <c:numFmt formatCode="0%;[Red]\(0%\)" sourceLinked="1"/>
        <c:majorTickMark val="out"/>
        <c:minorTickMark val="none"/>
        <c:tickLblPos val="nextTo"/>
        <c:crossAx val="3473349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233143399810067E-3"/>
          <c:y val="0"/>
          <c:w val="0.97825010069607943"/>
          <c:h val="0.83890148865004122"/>
        </c:manualLayout>
      </c:layout>
      <c:lineChart>
        <c:grouping val="standard"/>
        <c:varyColors val="0"/>
        <c:ser>
          <c:idx val="0"/>
          <c:order val="0"/>
          <c:tx>
            <c:strRef>
              <c:f>Quarters!$O$3</c:f>
              <c:strCache>
                <c:ptCount val="1"/>
                <c:pt idx="0">
                  <c:v>Perm</c:v>
                </c:pt>
              </c:strCache>
            </c:strRef>
          </c:tx>
          <c:spPr>
            <a:ln>
              <a:solidFill>
                <a:schemeClr val="accent6"/>
              </a:solidFill>
            </a:ln>
          </c:spPr>
          <c:marker>
            <c:symbol val="circle"/>
            <c:size val="5"/>
            <c:spPr>
              <a:solidFill>
                <a:schemeClr val="accent6"/>
              </a:solidFill>
              <a:ln w="9525">
                <a:solidFill>
                  <a:schemeClr val="accent6"/>
                </a:solidFill>
              </a:ln>
              <a:effectLst/>
            </c:spPr>
          </c:marker>
          <c:dLbls>
            <c:dLbl>
              <c:idx val="0"/>
              <c:layout>
                <c:manualLayout>
                  <c:x val="-4.7763718820861681E-2"/>
                  <c:y val="4.00463297204224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1DC-4148-94DE-AAA10051F420}"/>
                </c:ext>
              </c:extLst>
            </c:dLbl>
            <c:dLbl>
              <c:idx val="1"/>
              <c:layout>
                <c:manualLayout>
                  <c:x val="-3.9124263038548858E-2"/>
                  <c:y val="6.34477033614406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DC-4148-94DE-AAA10051F420}"/>
                </c:ext>
              </c:extLst>
            </c:dLbl>
            <c:dLbl>
              <c:idx val="2"/>
              <c:layout>
                <c:manualLayout>
                  <c:x val="-4.9762301587301584E-2"/>
                  <c:y val="5.16459005712029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DC-4148-94DE-AAA10051F420}"/>
                </c:ext>
              </c:extLst>
            </c:dLbl>
            <c:dLbl>
              <c:idx val="3"/>
              <c:layout>
                <c:manualLayout>
                  <c:x val="-2.4154365079365081E-2"/>
                  <c:y val="-6.63978956061034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DC-4148-94DE-AAA10051F420}"/>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DC-4148-94DE-AAA10051F420}"/>
                </c:ext>
              </c:extLst>
            </c:dLbl>
            <c:dLbl>
              <c:idx val="8"/>
              <c:layout>
                <c:manualLayout>
                  <c:x val="-4.4937341510044103E-2"/>
                  <c:y val="-6.99913347292334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AF-43D3-AC43-DB2AEF86FC3C}"/>
                </c:ext>
              </c:extLst>
            </c:dLbl>
            <c:dLbl>
              <c:idx val="1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DE-4A25-9032-BF9FA805D54D}"/>
                </c:ext>
              </c:extLst>
            </c:dLbl>
            <c:dLbl>
              <c:idx val="25"/>
              <c:layout>
                <c:manualLayout>
                  <c:x val="-3.9124263038548858E-2"/>
                  <c:y val="6.34477033614406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72-48AE-9AF5-9EAC5BD6ED51}"/>
                </c:ext>
              </c:extLst>
            </c:dLbl>
            <c:dLbl>
              <c:idx val="26"/>
              <c:layout>
                <c:manualLayout>
                  <c:x val="-4.9762301587301584E-2"/>
                  <c:y val="5.16459005712029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72-48AE-9AF5-9EAC5BD6ED51}"/>
                </c:ext>
              </c:extLst>
            </c:dLbl>
            <c:dLbl>
              <c:idx val="27"/>
              <c:layout>
                <c:manualLayout>
                  <c:x val="-2.4154365079365081E-2"/>
                  <c:y val="-6.63978956061034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2F-4D71-942C-1FEA99531C93}"/>
                </c:ext>
              </c:extLst>
            </c:dLbl>
            <c:dLbl>
              <c:idx val="2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3-40E1-8E99-C4B7AB5A3D60}"/>
                </c:ext>
              </c:extLst>
            </c:dLbl>
            <c:numFmt formatCode="#,##0%;\(#,##0%\)" sourceLinked="0"/>
            <c:spPr>
              <a:noFill/>
              <a:ln>
                <a:noFill/>
              </a:ln>
              <a:effectLst/>
            </c:spPr>
            <c:txPr>
              <a:bodyPr wrap="square" lIns="0" tIns="0" rIns="0" bIns="0" anchor="ctr">
                <a:spAutoFit/>
              </a:bodyPr>
              <a:lstStyle/>
              <a:p>
                <a:pPr>
                  <a:defRPr sz="800" b="0">
                    <a:solidFill>
                      <a:schemeClr val="accent6"/>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multiLvlStrRef>
              <c:f>Quarters!$AL$4:$AM$35</c:f>
              <c:multiLvlStrCache>
                <c:ptCount val="28"/>
                <c:lvl>
                  <c:pt idx="0">
                    <c:v>Q3</c:v>
                  </c:pt>
                  <c:pt idx="1">
                    <c:v>Q4</c:v>
                  </c:pt>
                  <c:pt idx="2">
                    <c:v>Q1</c:v>
                  </c:pt>
                  <c:pt idx="3">
                    <c:v>Q2</c:v>
                  </c:pt>
                  <c:pt idx="4">
                    <c:v>Q3</c:v>
                  </c:pt>
                  <c:pt idx="5">
                    <c:v>Q4</c:v>
                  </c:pt>
                  <c:pt idx="6">
                    <c:v>Q1</c:v>
                  </c:pt>
                  <c:pt idx="7">
                    <c:v>Q2</c:v>
                  </c:pt>
                  <c:pt idx="8">
                    <c:v>Q3</c:v>
                  </c:pt>
                  <c:pt idx="9">
                    <c:v>Q4</c:v>
                  </c:pt>
                  <c:pt idx="10">
                    <c:v>Q1</c:v>
                  </c:pt>
                  <c:pt idx="11">
                    <c:v>Q2</c:v>
                  </c:pt>
                  <c:pt idx="12">
                    <c:v>Q3</c:v>
                  </c:pt>
                  <c:pt idx="13">
                    <c:v>Q4</c:v>
                  </c:pt>
                  <c:pt idx="14">
                    <c:v>Q1</c:v>
                  </c:pt>
                  <c:pt idx="15">
                    <c:v>Q2</c:v>
                  </c:pt>
                  <c:pt idx="16">
                    <c:v>Q3</c:v>
                  </c:pt>
                  <c:pt idx="17">
                    <c:v>Q4</c:v>
                  </c:pt>
                  <c:pt idx="18">
                    <c:v>Q1</c:v>
                  </c:pt>
                  <c:pt idx="19">
                    <c:v>Q2</c:v>
                  </c:pt>
                  <c:pt idx="20">
                    <c:v>Q3</c:v>
                  </c:pt>
                  <c:pt idx="21">
                    <c:v>Q4</c:v>
                  </c:pt>
                  <c:pt idx="22">
                    <c:v>Q1</c:v>
                  </c:pt>
                  <c:pt idx="23">
                    <c:v>Q2</c:v>
                  </c:pt>
                  <c:pt idx="24">
                    <c:v>Q3</c:v>
                  </c:pt>
                  <c:pt idx="25">
                    <c:v>Q4</c:v>
                  </c:pt>
                  <c:pt idx="26">
                    <c:v>Q1</c:v>
                  </c:pt>
                  <c:pt idx="27">
                    <c:v>Q2</c:v>
                  </c:pt>
                </c:lvl>
                <c:lvl>
                  <c:pt idx="2">
                    <c:v>FY17</c:v>
                  </c:pt>
                  <c:pt idx="6">
                    <c:v>FY18</c:v>
                  </c:pt>
                  <c:pt idx="10">
                    <c:v>FY19</c:v>
                  </c:pt>
                  <c:pt idx="14">
                    <c:v>FY20</c:v>
                  </c:pt>
                  <c:pt idx="18">
                    <c:v>FY21</c:v>
                  </c:pt>
                  <c:pt idx="22">
                    <c:v>FY22</c:v>
                  </c:pt>
                  <c:pt idx="26">
                    <c:v>FY23</c:v>
                  </c:pt>
                </c:lvl>
              </c:multiLvlStrCache>
            </c:multiLvlStrRef>
          </c:cat>
          <c:val>
            <c:numRef>
              <c:f>Quarters!$O$4:$O$33</c:f>
              <c:numCache>
                <c:formatCode>0%;[Red]\(0%\)</c:formatCode>
                <c:ptCount val="28"/>
                <c:pt idx="0">
                  <c:v>0.08</c:v>
                </c:pt>
                <c:pt idx="1">
                  <c:v>0.06</c:v>
                </c:pt>
                <c:pt idx="2">
                  <c:v>0.02</c:v>
                </c:pt>
                <c:pt idx="3">
                  <c:v>0.01</c:v>
                </c:pt>
                <c:pt idx="4">
                  <c:v>7.0000000000000007E-2</c:v>
                </c:pt>
                <c:pt idx="5">
                  <c:v>7.0000000000000007E-2</c:v>
                </c:pt>
                <c:pt idx="6">
                  <c:v>0.13</c:v>
                </c:pt>
                <c:pt idx="7">
                  <c:v>0.15</c:v>
                </c:pt>
                <c:pt idx="8">
                  <c:v>0.11</c:v>
                </c:pt>
                <c:pt idx="9">
                  <c:v>0.2</c:v>
                </c:pt>
                <c:pt idx="10">
                  <c:v>0.11</c:v>
                </c:pt>
                <c:pt idx="11">
                  <c:v>0.09</c:v>
                </c:pt>
                <c:pt idx="12">
                  <c:v>7.0000000000000007E-2</c:v>
                </c:pt>
                <c:pt idx="13">
                  <c:v>0</c:v>
                </c:pt>
                <c:pt idx="14">
                  <c:v>0</c:v>
                </c:pt>
                <c:pt idx="15">
                  <c:v>-0.06</c:v>
                </c:pt>
                <c:pt idx="16">
                  <c:v>-0.1</c:v>
                </c:pt>
                <c:pt idx="17">
                  <c:v>-0.44</c:v>
                </c:pt>
                <c:pt idx="18">
                  <c:v>-0.35</c:v>
                </c:pt>
                <c:pt idx="19">
                  <c:v>-0.26</c:v>
                </c:pt>
                <c:pt idx="20">
                  <c:v>-0.13</c:v>
                </c:pt>
                <c:pt idx="21">
                  <c:v>0.67</c:v>
                </c:pt>
                <c:pt idx="22">
                  <c:v>0.65</c:v>
                </c:pt>
                <c:pt idx="23">
                  <c:v>0.61</c:v>
                </c:pt>
                <c:pt idx="24">
                  <c:v>0.48</c:v>
                </c:pt>
                <c:pt idx="25">
                  <c:v>0.31</c:v>
                </c:pt>
                <c:pt idx="26">
                  <c:v>0.16</c:v>
                </c:pt>
                <c:pt idx="27">
                  <c:v>7.0000000000000007E-2</c:v>
                </c:pt>
              </c:numCache>
            </c:numRef>
          </c:val>
          <c:smooth val="1"/>
          <c:extLst>
            <c:ext xmlns:c16="http://schemas.microsoft.com/office/drawing/2014/chart" uri="{C3380CC4-5D6E-409C-BE32-E72D297353CC}">
              <c16:uniqueId val="{00000006-CFDE-4A25-9032-BF9FA805D54D}"/>
            </c:ext>
          </c:extLst>
        </c:ser>
        <c:dLbls>
          <c:showLegendKey val="0"/>
          <c:showVal val="0"/>
          <c:showCatName val="0"/>
          <c:showSerName val="0"/>
          <c:showPercent val="0"/>
          <c:showBubbleSize val="0"/>
        </c:dLbls>
        <c:marker val="1"/>
        <c:smooth val="0"/>
        <c:axId val="347334952"/>
        <c:axId val="347335344"/>
      </c:lineChart>
      <c:catAx>
        <c:axId val="347334952"/>
        <c:scaling>
          <c:orientation val="minMax"/>
        </c:scaling>
        <c:delete val="0"/>
        <c:axPos val="b"/>
        <c:numFmt formatCode="General" sourceLinked="1"/>
        <c:majorTickMark val="none"/>
        <c:minorTickMark val="none"/>
        <c:tickLblPos val="low"/>
        <c:spPr>
          <a:noFill/>
          <a:ln w="19050" cap="flat" cmpd="sng" algn="ctr">
            <a:solidFill>
              <a:schemeClr val="bg1">
                <a:lumMod val="65000"/>
              </a:schemeClr>
            </a:solidFill>
            <a:round/>
          </a:ln>
          <a:effectLst/>
        </c:spPr>
        <c:txPr>
          <a:bodyPr rot="-60000000" spcFirstLastPara="1" vertOverflow="ellipsis" vert="horz" wrap="square" anchor="ctr" anchorCtr="1"/>
          <a:lstStyle/>
          <a:p>
            <a:pPr>
              <a:defRPr sz="7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47335344"/>
        <c:crosses val="autoZero"/>
        <c:auto val="1"/>
        <c:lblAlgn val="ctr"/>
        <c:lblOffset val="50"/>
        <c:noMultiLvlLbl val="0"/>
      </c:catAx>
      <c:valAx>
        <c:axId val="347335344"/>
        <c:scaling>
          <c:orientation val="minMax"/>
          <c:max val="0.70000000000000007"/>
          <c:min val="-0.45"/>
        </c:scaling>
        <c:delete val="1"/>
        <c:axPos val="l"/>
        <c:numFmt formatCode="0%;[Red]\(0%\)" sourceLinked="1"/>
        <c:majorTickMark val="out"/>
        <c:minorTickMark val="none"/>
        <c:tickLblPos val="nextTo"/>
        <c:crossAx val="3473349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233143399810067E-3"/>
          <c:y val="0"/>
          <c:w val="0.992153371320038"/>
          <c:h val="0.83893957115009743"/>
        </c:manualLayout>
      </c:layout>
      <c:lineChart>
        <c:grouping val="standard"/>
        <c:varyColors val="0"/>
        <c:ser>
          <c:idx val="0"/>
          <c:order val="0"/>
          <c:tx>
            <c:strRef>
              <c:f>Quarters!$G$3</c:f>
              <c:strCache>
                <c:ptCount val="1"/>
                <c:pt idx="0">
                  <c:v>GROUP</c:v>
                </c:pt>
              </c:strCache>
            </c:strRef>
          </c:tx>
          <c:spPr>
            <a:ln>
              <a:solidFill>
                <a:schemeClr val="tx1"/>
              </a:solidFill>
            </a:ln>
          </c:spPr>
          <c:marker>
            <c:symbol val="circle"/>
            <c:size val="5"/>
            <c:spPr>
              <a:solidFill>
                <a:schemeClr val="tx1"/>
              </a:solidFill>
              <a:ln w="9525">
                <a:solidFill>
                  <a:schemeClr val="tx1"/>
                </a:solidFill>
              </a:ln>
              <a:effectLst/>
            </c:spPr>
          </c:marker>
          <c:dLbls>
            <c:dLbl>
              <c:idx val="20"/>
              <c:layout>
                <c:manualLayout>
                  <c:x val="-1.0424511978578683E-2"/>
                  <c:y val="4.09714359430065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B7-4715-BA31-0EED09FE7944}"/>
                </c:ext>
              </c:extLst>
            </c:dLbl>
            <c:dLbl>
              <c:idx val="21"/>
              <c:layout>
                <c:manualLayout>
                  <c:x val="-7.0944273938720048E-2"/>
                  <c:y val="-5.69369228610621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B7-4715-BA31-0EED09FE7944}"/>
                </c:ext>
              </c:extLst>
            </c:dLbl>
            <c:dLbl>
              <c:idx val="22"/>
              <c:layout>
                <c:manualLayout>
                  <c:x val="-2.5533121918842852E-3"/>
                  <c:y val="-4.71913149889223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B7-4715-BA31-0EED09FE7944}"/>
                </c:ext>
              </c:extLst>
            </c:dLbl>
            <c:dLbl>
              <c:idx val="23"/>
              <c:layout>
                <c:manualLayout>
                  <c:x val="-7.4901587301587413E-2"/>
                  <c:y val="-9.105508278746343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B7-4715-BA31-0EED09FE7944}"/>
                </c:ext>
              </c:extLst>
            </c:dLbl>
            <c:dLbl>
              <c:idx val="24"/>
              <c:layout>
                <c:manualLayout>
                  <c:x val="-4.4883900226757478E-2"/>
                  <c:y val="3.9235870133943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39-4AE4-8C1C-A131A5EA4F8D}"/>
                </c:ext>
              </c:extLst>
            </c:dLbl>
            <c:dLbl>
              <c:idx val="25"/>
              <c:layout>
                <c:manualLayout>
                  <c:x val="-4.7763718820861889E-2"/>
                  <c:y val="5.45310953055965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39-4AE4-8C1C-A131A5EA4F8D}"/>
                </c:ext>
              </c:extLst>
            </c:dLbl>
            <c:numFmt formatCode="#,##0%;\(#,##0%\)" sourceLinked="0"/>
            <c:spPr>
              <a:noFill/>
              <a:ln>
                <a:noFill/>
              </a:ln>
              <a:effectLst/>
            </c:spPr>
            <c:txPr>
              <a:bodyPr wrap="square" lIns="0" tIns="0" rIns="0" bIns="0" anchor="ctr">
                <a:spAutoFit/>
              </a:bodyPr>
              <a:lstStyle/>
              <a:p>
                <a:pPr>
                  <a:defRPr sz="800" b="0">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multiLvlStrRef>
              <c:f>Quarters!$AL$4:$AM$37</c:f>
              <c:multiLvlStrCache>
                <c:ptCount val="28"/>
                <c:lvl>
                  <c:pt idx="0">
                    <c:v>Q3</c:v>
                  </c:pt>
                  <c:pt idx="1">
                    <c:v>Q4</c:v>
                  </c:pt>
                  <c:pt idx="2">
                    <c:v>Q1</c:v>
                  </c:pt>
                  <c:pt idx="3">
                    <c:v>Q2</c:v>
                  </c:pt>
                  <c:pt idx="4">
                    <c:v>Q3</c:v>
                  </c:pt>
                  <c:pt idx="5">
                    <c:v>Q4</c:v>
                  </c:pt>
                  <c:pt idx="6">
                    <c:v>Q1</c:v>
                  </c:pt>
                  <c:pt idx="7">
                    <c:v>Q2</c:v>
                  </c:pt>
                  <c:pt idx="8">
                    <c:v>Q3</c:v>
                  </c:pt>
                  <c:pt idx="9">
                    <c:v>Q4</c:v>
                  </c:pt>
                  <c:pt idx="10">
                    <c:v>Q1</c:v>
                  </c:pt>
                  <c:pt idx="11">
                    <c:v>Q2</c:v>
                  </c:pt>
                  <c:pt idx="12">
                    <c:v>Q3</c:v>
                  </c:pt>
                  <c:pt idx="13">
                    <c:v>Q4</c:v>
                  </c:pt>
                  <c:pt idx="14">
                    <c:v>Q1</c:v>
                  </c:pt>
                  <c:pt idx="15">
                    <c:v>Q2</c:v>
                  </c:pt>
                  <c:pt idx="16">
                    <c:v>Q3</c:v>
                  </c:pt>
                  <c:pt idx="17">
                    <c:v>Q4</c:v>
                  </c:pt>
                  <c:pt idx="18">
                    <c:v>Q1</c:v>
                  </c:pt>
                  <c:pt idx="19">
                    <c:v>Q2</c:v>
                  </c:pt>
                  <c:pt idx="20">
                    <c:v>Q3</c:v>
                  </c:pt>
                  <c:pt idx="21">
                    <c:v>Q4</c:v>
                  </c:pt>
                  <c:pt idx="22">
                    <c:v>Q1</c:v>
                  </c:pt>
                  <c:pt idx="23">
                    <c:v>Q2</c:v>
                  </c:pt>
                  <c:pt idx="24">
                    <c:v>Q3</c:v>
                  </c:pt>
                  <c:pt idx="25">
                    <c:v>Q4</c:v>
                  </c:pt>
                  <c:pt idx="26">
                    <c:v>Q1</c:v>
                  </c:pt>
                  <c:pt idx="27">
                    <c:v>Q2</c:v>
                  </c:pt>
                </c:lvl>
                <c:lvl>
                  <c:pt idx="2">
                    <c:v>FY17</c:v>
                  </c:pt>
                  <c:pt idx="6">
                    <c:v>FY18</c:v>
                  </c:pt>
                  <c:pt idx="10">
                    <c:v>FY19</c:v>
                  </c:pt>
                  <c:pt idx="14">
                    <c:v>FY20</c:v>
                  </c:pt>
                  <c:pt idx="18">
                    <c:v>FY21</c:v>
                  </c:pt>
                  <c:pt idx="22">
                    <c:v>FY22</c:v>
                  </c:pt>
                  <c:pt idx="26">
                    <c:v>FY23</c:v>
                  </c:pt>
                </c:lvl>
              </c:multiLvlStrCache>
            </c:multiLvlStrRef>
          </c:cat>
          <c:val>
            <c:numRef>
              <c:f>Quarters!$G$4:$G$33</c:f>
              <c:numCache>
                <c:formatCode>0%;[Red]\(0%\)</c:formatCode>
                <c:ptCount val="28"/>
                <c:pt idx="0">
                  <c:v>4.2272123404532416E-2</c:v>
                </c:pt>
                <c:pt idx="1">
                  <c:v>0.08</c:v>
                </c:pt>
                <c:pt idx="2">
                  <c:v>0.03</c:v>
                </c:pt>
                <c:pt idx="3">
                  <c:v>0.02</c:v>
                </c:pt>
                <c:pt idx="4">
                  <c:v>0.1</c:v>
                </c:pt>
                <c:pt idx="5">
                  <c:v>7.0000000000000007E-2</c:v>
                </c:pt>
                <c:pt idx="6">
                  <c:v>0.1</c:v>
                </c:pt>
                <c:pt idx="7">
                  <c:v>0.13</c:v>
                </c:pt>
                <c:pt idx="8">
                  <c:v>0.1</c:v>
                </c:pt>
                <c:pt idx="9">
                  <c:v>0.15</c:v>
                </c:pt>
                <c:pt idx="10">
                  <c:v>0.09</c:v>
                </c:pt>
                <c:pt idx="11">
                  <c:v>0.09</c:v>
                </c:pt>
                <c:pt idx="12">
                  <c:v>0.06</c:v>
                </c:pt>
                <c:pt idx="13">
                  <c:v>0</c:v>
                </c:pt>
                <c:pt idx="14">
                  <c:v>0</c:v>
                </c:pt>
                <c:pt idx="15">
                  <c:v>-0.04</c:v>
                </c:pt>
                <c:pt idx="16">
                  <c:v>-7.0000000000000007E-2</c:v>
                </c:pt>
                <c:pt idx="17">
                  <c:v>-0.34</c:v>
                </c:pt>
                <c:pt idx="18">
                  <c:v>-0.28999999999999998</c:v>
                </c:pt>
                <c:pt idx="19">
                  <c:v>-0.19</c:v>
                </c:pt>
                <c:pt idx="20">
                  <c:v>-0.1</c:v>
                </c:pt>
                <c:pt idx="21">
                  <c:v>0.39</c:v>
                </c:pt>
                <c:pt idx="22">
                  <c:v>0.41</c:v>
                </c:pt>
                <c:pt idx="23">
                  <c:v>0.37</c:v>
                </c:pt>
                <c:pt idx="24">
                  <c:v>0.32</c:v>
                </c:pt>
                <c:pt idx="25">
                  <c:v>0.23</c:v>
                </c:pt>
                <c:pt idx="26">
                  <c:v>0.15</c:v>
                </c:pt>
                <c:pt idx="27">
                  <c:v>0.08</c:v>
                </c:pt>
              </c:numCache>
            </c:numRef>
          </c:val>
          <c:smooth val="1"/>
          <c:extLst>
            <c:ext xmlns:c16="http://schemas.microsoft.com/office/drawing/2014/chart" uri="{C3380CC4-5D6E-409C-BE32-E72D297353CC}">
              <c16:uniqueId val="{0000000A-5A99-49B5-81E6-159E21DE1A2F}"/>
            </c:ext>
          </c:extLst>
        </c:ser>
        <c:dLbls>
          <c:showLegendKey val="0"/>
          <c:showVal val="0"/>
          <c:showCatName val="0"/>
          <c:showSerName val="0"/>
          <c:showPercent val="0"/>
          <c:showBubbleSize val="0"/>
        </c:dLbls>
        <c:marker val="1"/>
        <c:smooth val="0"/>
        <c:axId val="347334952"/>
        <c:axId val="347335344"/>
      </c:lineChart>
      <c:catAx>
        <c:axId val="347334952"/>
        <c:scaling>
          <c:orientation val="minMax"/>
        </c:scaling>
        <c:delete val="0"/>
        <c:axPos val="b"/>
        <c:numFmt formatCode="General" sourceLinked="1"/>
        <c:majorTickMark val="none"/>
        <c:minorTickMark val="none"/>
        <c:tickLblPos val="low"/>
        <c:spPr>
          <a:noFill/>
          <a:ln w="19050" cap="flat" cmpd="sng" algn="ctr">
            <a:solidFill>
              <a:schemeClr val="bg1">
                <a:lumMod val="65000"/>
              </a:schemeClr>
            </a:solidFill>
            <a:round/>
          </a:ln>
          <a:effectLst/>
        </c:spPr>
        <c:txPr>
          <a:bodyPr rot="-60000000" spcFirstLastPara="1" vertOverflow="ellipsis" vert="horz" wrap="square" anchor="ctr" anchorCtr="1"/>
          <a:lstStyle/>
          <a:p>
            <a:pPr>
              <a:defRPr sz="7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47335344"/>
        <c:crosses val="autoZero"/>
        <c:auto val="1"/>
        <c:lblAlgn val="ctr"/>
        <c:lblOffset val="50"/>
        <c:noMultiLvlLbl val="0"/>
      </c:catAx>
      <c:valAx>
        <c:axId val="347335344"/>
        <c:scaling>
          <c:orientation val="minMax"/>
          <c:max val="0.45"/>
          <c:min val="-0.45"/>
        </c:scaling>
        <c:delete val="1"/>
        <c:axPos val="l"/>
        <c:numFmt formatCode="0%;[Red]\(0%\)" sourceLinked="1"/>
        <c:majorTickMark val="out"/>
        <c:minorTickMark val="none"/>
        <c:tickLblPos val="nextTo"/>
        <c:crossAx val="3473349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233143399810067E-3"/>
          <c:y val="0"/>
          <c:w val="0.98351211390179616"/>
          <c:h val="0.83893957115009743"/>
        </c:manualLayout>
      </c:layout>
      <c:lineChart>
        <c:grouping val="standard"/>
        <c:varyColors val="0"/>
        <c:ser>
          <c:idx val="0"/>
          <c:order val="0"/>
          <c:tx>
            <c:strRef>
              <c:f>Quarters!$T$3</c:f>
              <c:strCache>
                <c:ptCount val="1"/>
                <c:pt idx="0">
                  <c:v>YoY ∆ in # of consultants</c:v>
                </c:pt>
              </c:strCache>
            </c:strRef>
          </c:tx>
          <c:spPr>
            <a:ln>
              <a:solidFill>
                <a:schemeClr val="bg1">
                  <a:lumMod val="50000"/>
                </a:schemeClr>
              </a:solidFill>
            </a:ln>
          </c:spPr>
          <c:marker>
            <c:symbol val="circle"/>
            <c:size val="5"/>
            <c:spPr>
              <a:solidFill>
                <a:schemeClr val="bg1">
                  <a:lumMod val="50000"/>
                </a:schemeClr>
              </a:solidFill>
              <a:ln w="9525">
                <a:solidFill>
                  <a:schemeClr val="bg1">
                    <a:lumMod val="50000"/>
                  </a:schemeClr>
                </a:solidFill>
              </a:ln>
              <a:effectLst/>
            </c:spPr>
          </c:marker>
          <c:dLbls>
            <c:dLbl>
              <c:idx val="0"/>
              <c:layout>
                <c:manualLayout>
                  <c:x val="-3.3364625850340134E-2"/>
                  <c:y val="-4.5360668018198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C-4274-9FAF-DAB7578FB4A7}"/>
                </c:ext>
              </c:extLst>
            </c:dLbl>
            <c:dLbl>
              <c:idx val="1"/>
              <c:tx>
                <c:rich>
                  <a:bodyPr wrap="square" lIns="0" tIns="0" rIns="0" bIns="0" anchor="ctr">
                    <a:spAutoFit/>
                  </a:bodyPr>
                  <a:lstStyle/>
                  <a:p>
                    <a:pPr>
                      <a:defRPr sz="900" b="0">
                        <a:solidFill>
                          <a:schemeClr val="bg1">
                            <a:lumMod val="50000"/>
                          </a:schemeClr>
                        </a:solidFill>
                        <a:latin typeface="Arial" panose="020B0604020202020204" pitchFamily="34" charset="0"/>
                        <a:cs typeface="Arial" panose="020B0604020202020204" pitchFamily="34" charset="0"/>
                      </a:defRPr>
                    </a:pPr>
                    <a:fld id="{9504929F-4122-4E20-B516-F80EB94C00EA}" type="VALUE">
                      <a:rPr lang="en-US" sz="900">
                        <a:solidFill>
                          <a:schemeClr val="bg1">
                            <a:lumMod val="50000"/>
                          </a:schemeClr>
                        </a:solidFill>
                      </a:rPr>
                      <a:pPr>
                        <a:defRPr sz="900" b="0">
                          <a:solidFill>
                            <a:schemeClr val="bg1">
                              <a:lumMod val="50000"/>
                            </a:schemeClr>
                          </a:solidFill>
                          <a:latin typeface="Arial" panose="020B0604020202020204" pitchFamily="34" charset="0"/>
                          <a:cs typeface="Arial" panose="020B0604020202020204" pitchFamily="34" charset="0"/>
                        </a:defRPr>
                      </a:pPr>
                      <a:t>[VALUE]</a:t>
                    </a:fld>
                    <a:endParaRPr lang="en-GB"/>
                  </a:p>
                </c:rich>
              </c:tx>
              <c:numFmt formatCode="#,##0%;\(#,##0%\)" sourceLinked="0"/>
              <c:spPr>
                <a:noFill/>
                <a:ln>
                  <a:noFill/>
                </a:ln>
                <a:effectLst/>
              </c:sp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1-F0CC-4274-9FAF-DAB7578FB4A7}"/>
                </c:ext>
              </c:extLst>
            </c:dLbl>
            <c:dLbl>
              <c:idx val="17"/>
              <c:layout>
                <c:manualLayout>
                  <c:x val="-5.2134359771490814E-2"/>
                  <c:y val="6.3464660735972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2F0-4306-841F-9B6DC6068D00}"/>
                </c:ext>
              </c:extLst>
            </c:dLbl>
            <c:dLbl>
              <c:idx val="18"/>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F0-4306-841F-9B6DC6068D00}"/>
                </c:ext>
              </c:extLst>
            </c:dLbl>
            <c:dLbl>
              <c:idx val="22"/>
              <c:layout>
                <c:manualLayout>
                  <c:x val="-2.5533121918842852E-3"/>
                  <c:y val="1.808092421379073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4D-47D0-A582-A02CF99B9324}"/>
                </c:ext>
              </c:extLst>
            </c:dLbl>
            <c:dLbl>
              <c:idx val="25"/>
              <c:layout>
                <c:manualLayout>
                  <c:x val="-3.9124263038548858E-2"/>
                  <c:y val="-4.76099986698044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D2-44FE-B95B-ED332E193FA7}"/>
                </c:ext>
              </c:extLst>
            </c:dLbl>
            <c:dLbl>
              <c:idx val="26"/>
              <c:layout>
                <c:manualLayout>
                  <c:x val="-3.3364625850340134E-2"/>
                  <c:y val="-4.5360668018198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5D-4FF4-9765-56D3E4C4F727}"/>
                </c:ext>
              </c:extLst>
            </c:dLbl>
            <c:dLbl>
              <c:idx val="27"/>
              <c:tx>
                <c:rich>
                  <a:bodyPr wrap="square" lIns="0" tIns="0" rIns="0" bIns="0" anchor="ctr">
                    <a:spAutoFit/>
                  </a:bodyPr>
                  <a:lstStyle/>
                  <a:p>
                    <a:pPr>
                      <a:defRPr sz="900" b="0">
                        <a:solidFill>
                          <a:schemeClr val="bg1">
                            <a:lumMod val="50000"/>
                          </a:schemeClr>
                        </a:solidFill>
                        <a:latin typeface="Arial" panose="020B0604020202020204" pitchFamily="34" charset="0"/>
                        <a:cs typeface="Arial" panose="020B0604020202020204" pitchFamily="34" charset="0"/>
                      </a:defRPr>
                    </a:pPr>
                    <a:fld id="{9504929F-4122-4E20-B516-F80EB94C00EA}" type="VALUE">
                      <a:rPr lang="en-US" sz="900">
                        <a:solidFill>
                          <a:schemeClr val="bg1">
                            <a:lumMod val="50000"/>
                          </a:schemeClr>
                        </a:solidFill>
                      </a:rPr>
                      <a:pPr>
                        <a:defRPr sz="900" b="0">
                          <a:solidFill>
                            <a:schemeClr val="bg1">
                              <a:lumMod val="50000"/>
                            </a:schemeClr>
                          </a:solidFill>
                          <a:latin typeface="Arial" panose="020B0604020202020204" pitchFamily="34" charset="0"/>
                          <a:cs typeface="Arial" panose="020B0604020202020204" pitchFamily="34" charset="0"/>
                        </a:defRPr>
                      </a:pPr>
                      <a:t>[VALUE]</a:t>
                    </a:fld>
                    <a:endParaRPr lang="en-GB"/>
                  </a:p>
                </c:rich>
              </c:tx>
              <c:numFmt formatCode="#,##0%;\(#,##0%\)" sourceLinked="0"/>
              <c:spPr>
                <a:noFill/>
                <a:ln>
                  <a:noFill/>
                </a:ln>
                <a:effectLst/>
              </c:sp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1-B85D-4FF4-9765-56D3E4C4F727}"/>
                </c:ext>
              </c:extLst>
            </c:dLbl>
            <c:numFmt formatCode="#,##0%;\(#,##0%\)" sourceLinked="0"/>
            <c:spPr>
              <a:noFill/>
              <a:ln>
                <a:noFill/>
              </a:ln>
              <a:effectLst/>
            </c:spPr>
            <c:txPr>
              <a:bodyPr wrap="square" lIns="0" tIns="0" rIns="0" bIns="0" anchor="ctr">
                <a:spAutoFit/>
              </a:bodyPr>
              <a:lstStyle/>
              <a:p>
                <a:pPr>
                  <a:defRPr sz="800" b="0">
                    <a:solidFill>
                      <a:schemeClr val="bg1">
                        <a:lumMod val="50000"/>
                      </a:schemeClr>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multiLvlStrRef>
              <c:f>Quarters!$AL$4:$AM$36</c:f>
              <c:multiLvlStrCache>
                <c:ptCount val="28"/>
                <c:lvl>
                  <c:pt idx="0">
                    <c:v>Q3</c:v>
                  </c:pt>
                  <c:pt idx="1">
                    <c:v>Q4</c:v>
                  </c:pt>
                  <c:pt idx="2">
                    <c:v>Q1</c:v>
                  </c:pt>
                  <c:pt idx="3">
                    <c:v>Q2</c:v>
                  </c:pt>
                  <c:pt idx="4">
                    <c:v>Q3</c:v>
                  </c:pt>
                  <c:pt idx="5">
                    <c:v>Q4</c:v>
                  </c:pt>
                  <c:pt idx="6">
                    <c:v>Q1</c:v>
                  </c:pt>
                  <c:pt idx="7">
                    <c:v>Q2</c:v>
                  </c:pt>
                  <c:pt idx="8">
                    <c:v>Q3</c:v>
                  </c:pt>
                  <c:pt idx="9">
                    <c:v>Q4</c:v>
                  </c:pt>
                  <c:pt idx="10">
                    <c:v>Q1</c:v>
                  </c:pt>
                  <c:pt idx="11">
                    <c:v>Q2</c:v>
                  </c:pt>
                  <c:pt idx="12">
                    <c:v>Q3</c:v>
                  </c:pt>
                  <c:pt idx="13">
                    <c:v>Q4</c:v>
                  </c:pt>
                  <c:pt idx="14">
                    <c:v>Q1</c:v>
                  </c:pt>
                  <c:pt idx="15">
                    <c:v>Q2</c:v>
                  </c:pt>
                  <c:pt idx="16">
                    <c:v>Q3</c:v>
                  </c:pt>
                  <c:pt idx="17">
                    <c:v>Q4</c:v>
                  </c:pt>
                  <c:pt idx="18">
                    <c:v>Q1</c:v>
                  </c:pt>
                  <c:pt idx="19">
                    <c:v>Q2</c:v>
                  </c:pt>
                  <c:pt idx="20">
                    <c:v>Q3</c:v>
                  </c:pt>
                  <c:pt idx="21">
                    <c:v>Q4</c:v>
                  </c:pt>
                  <c:pt idx="22">
                    <c:v>Q1</c:v>
                  </c:pt>
                  <c:pt idx="23">
                    <c:v>Q2</c:v>
                  </c:pt>
                  <c:pt idx="24">
                    <c:v>Q3</c:v>
                  </c:pt>
                  <c:pt idx="25">
                    <c:v>Q4</c:v>
                  </c:pt>
                  <c:pt idx="26">
                    <c:v>Q1</c:v>
                  </c:pt>
                  <c:pt idx="27">
                    <c:v>Q2</c:v>
                  </c:pt>
                </c:lvl>
                <c:lvl>
                  <c:pt idx="2">
                    <c:v>FY17</c:v>
                  </c:pt>
                  <c:pt idx="6">
                    <c:v>FY18</c:v>
                  </c:pt>
                  <c:pt idx="10">
                    <c:v>FY19</c:v>
                  </c:pt>
                  <c:pt idx="14">
                    <c:v>FY20</c:v>
                  </c:pt>
                  <c:pt idx="18">
                    <c:v>FY21</c:v>
                  </c:pt>
                  <c:pt idx="22">
                    <c:v>FY22</c:v>
                  </c:pt>
                  <c:pt idx="26">
                    <c:v>FY23</c:v>
                  </c:pt>
                </c:lvl>
              </c:multiLvlStrCache>
            </c:multiLvlStrRef>
          </c:cat>
          <c:val>
            <c:numRef>
              <c:f>Quarters!$T$4:$T$33</c:f>
              <c:numCache>
                <c:formatCode>0%;[Red]\(0%\)</c:formatCode>
                <c:ptCount val="28"/>
                <c:pt idx="0">
                  <c:v>3.6174430128840473E-2</c:v>
                </c:pt>
                <c:pt idx="1">
                  <c:v>2.5523560209424145E-2</c:v>
                </c:pt>
                <c:pt idx="2">
                  <c:v>2.1220159151193574E-2</c:v>
                </c:pt>
                <c:pt idx="3">
                  <c:v>2.3709902370990132E-2</c:v>
                </c:pt>
                <c:pt idx="4">
                  <c:v>7.6040172166427444E-2</c:v>
                </c:pt>
                <c:pt idx="5">
                  <c:v>9.8117421825143492E-2</c:v>
                </c:pt>
                <c:pt idx="6">
                  <c:v>0.11107715813598174</c:v>
                </c:pt>
                <c:pt idx="7">
                  <c:v>0.12791401755979415</c:v>
                </c:pt>
                <c:pt idx="8">
                  <c:v>0.11096296296296293</c:v>
                </c:pt>
                <c:pt idx="9">
                  <c:v>8.4410867354351327E-2</c:v>
                </c:pt>
                <c:pt idx="10">
                  <c:v>7.0000000000000007E-2</c:v>
                </c:pt>
                <c:pt idx="11">
                  <c:v>7.0000000000000007E-2</c:v>
                </c:pt>
                <c:pt idx="12">
                  <c:v>0.05</c:v>
                </c:pt>
                <c:pt idx="13">
                  <c:v>0.04</c:v>
                </c:pt>
                <c:pt idx="14">
                  <c:v>0.01</c:v>
                </c:pt>
                <c:pt idx="15">
                  <c:v>-0.02</c:v>
                </c:pt>
                <c:pt idx="16">
                  <c:v>-0.03</c:v>
                </c:pt>
                <c:pt idx="17">
                  <c:v>-0.1</c:v>
                </c:pt>
                <c:pt idx="18">
                  <c:v>-0.17</c:v>
                </c:pt>
                <c:pt idx="19">
                  <c:v>-0.17</c:v>
                </c:pt>
                <c:pt idx="20">
                  <c:v>-0.11796141814389993</c:v>
                </c:pt>
                <c:pt idx="21">
                  <c:v>0.04</c:v>
                </c:pt>
                <c:pt idx="22">
                  <c:v>0.19</c:v>
                </c:pt>
                <c:pt idx="23">
                  <c:v>0.26</c:v>
                </c:pt>
                <c:pt idx="24">
                  <c:v>0.27</c:v>
                </c:pt>
                <c:pt idx="25">
                  <c:v>0.26</c:v>
                </c:pt>
                <c:pt idx="26">
                  <c:v>0.19</c:v>
                </c:pt>
                <c:pt idx="27">
                  <c:v>0.1</c:v>
                </c:pt>
              </c:numCache>
            </c:numRef>
          </c:val>
          <c:smooth val="1"/>
          <c:extLst>
            <c:ext xmlns:c16="http://schemas.microsoft.com/office/drawing/2014/chart" uri="{C3380CC4-5D6E-409C-BE32-E72D297353CC}">
              <c16:uniqueId val="{00000006-B2F0-4306-841F-9B6DC6068D00}"/>
            </c:ext>
          </c:extLst>
        </c:ser>
        <c:dLbls>
          <c:showLegendKey val="0"/>
          <c:showVal val="0"/>
          <c:showCatName val="0"/>
          <c:showSerName val="0"/>
          <c:showPercent val="0"/>
          <c:showBubbleSize val="0"/>
        </c:dLbls>
        <c:marker val="1"/>
        <c:smooth val="0"/>
        <c:axId val="347334952"/>
        <c:axId val="347335344"/>
      </c:lineChart>
      <c:catAx>
        <c:axId val="347334952"/>
        <c:scaling>
          <c:orientation val="minMax"/>
        </c:scaling>
        <c:delete val="0"/>
        <c:axPos val="b"/>
        <c:numFmt formatCode="General" sourceLinked="1"/>
        <c:majorTickMark val="none"/>
        <c:minorTickMark val="none"/>
        <c:tickLblPos val="low"/>
        <c:spPr>
          <a:noFill/>
          <a:ln w="19050" cap="flat" cmpd="sng" algn="ctr">
            <a:solidFill>
              <a:schemeClr val="bg1">
                <a:lumMod val="65000"/>
              </a:schemeClr>
            </a:solidFill>
            <a:round/>
          </a:ln>
          <a:effectLst/>
        </c:spPr>
        <c:txPr>
          <a:bodyPr rot="-60000000" spcFirstLastPara="1" vertOverflow="ellipsis" vert="horz" wrap="square" anchor="ctr" anchorCtr="1"/>
          <a:lstStyle/>
          <a:p>
            <a:pPr>
              <a:defRPr sz="7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47335344"/>
        <c:crosses val="autoZero"/>
        <c:auto val="1"/>
        <c:lblAlgn val="ctr"/>
        <c:lblOffset val="50"/>
        <c:noMultiLvlLbl val="0"/>
      </c:catAx>
      <c:valAx>
        <c:axId val="347335344"/>
        <c:scaling>
          <c:orientation val="minMax"/>
          <c:max val="0.45"/>
          <c:min val="-0.45"/>
        </c:scaling>
        <c:delete val="1"/>
        <c:axPos val="l"/>
        <c:numFmt formatCode="0%;[Red]\(0%\)" sourceLinked="1"/>
        <c:majorTickMark val="out"/>
        <c:minorTickMark val="none"/>
        <c:tickLblPos val="nextTo"/>
        <c:crossAx val="3473349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399092970521542E-2"/>
          <c:y val="5.6899641577060935E-3"/>
          <c:w val="0.97120181405895689"/>
          <c:h val="0.80125224014336915"/>
        </c:manualLayout>
      </c:layout>
      <c:barChart>
        <c:barDir val="col"/>
        <c:grouping val="percentStacked"/>
        <c:varyColors val="0"/>
        <c:ser>
          <c:idx val="2"/>
          <c:order val="0"/>
          <c:tx>
            <c:strRef>
              <c:f>'Fee &amp; Cost Breakdown'!$B$21</c:f>
              <c:strCache>
                <c:ptCount val="1"/>
                <c:pt idx="0">
                  <c:v>UK &amp; Ireland</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Breakdown'!$V$21,'Fee &amp; Cost Breakdown'!$Y$21,'Fee &amp; Cost Breakdown'!$AB$21,'Fee &amp; Cost Breakdown'!$AE$21,'Fee &amp; Cost Breakdown'!$AH$21,'Fee &amp; Cost Breakdown'!$AK$21,'Fee &amp; Cost Breakdown'!$AN$21,'Fee &amp; Cost Breakdown'!$AQ$21)</c:f>
              <c:numCache>
                <c:formatCode>#,##0%;\(#,##0%\)</c:formatCode>
                <c:ptCount val="8"/>
                <c:pt idx="0">
                  <c:v>0.35579691180319284</c:v>
                </c:pt>
                <c:pt idx="1">
                  <c:v>0.33530791065037641</c:v>
                </c:pt>
                <c:pt idx="2">
                  <c:v>0.27</c:v>
                </c:pt>
                <c:pt idx="3">
                  <c:v>0.24067859806114839</c:v>
                </c:pt>
                <c:pt idx="4">
                  <c:v>0.23351332212091705</c:v>
                </c:pt>
                <c:pt idx="5">
                  <c:v>0.2264605500903433</c:v>
                </c:pt>
                <c:pt idx="6">
                  <c:v>0.21903932033547543</c:v>
                </c:pt>
                <c:pt idx="7">
                  <c:v>0.22137212039683873</c:v>
                </c:pt>
              </c:numCache>
            </c:numRef>
          </c:val>
          <c:extLst>
            <c:ext xmlns:c16="http://schemas.microsoft.com/office/drawing/2014/chart" uri="{C3380CC4-5D6E-409C-BE32-E72D297353CC}">
              <c16:uniqueId val="{00000000-4F8A-4D88-86BC-3FF35A8211C4}"/>
            </c:ext>
          </c:extLst>
        </c:ser>
        <c:ser>
          <c:idx val="0"/>
          <c:order val="1"/>
          <c:tx>
            <c:strRef>
              <c:f>'Fee &amp; Cost Breakdown'!$B$22</c:f>
              <c:strCache>
                <c:ptCount val="1"/>
                <c:pt idx="0">
                  <c:v>International</c:v>
                </c:pt>
              </c:strCache>
            </c:strRef>
          </c:tx>
          <c:spPr>
            <a:solidFill>
              <a:schemeClr val="accent3">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Breakdown'!$V$22,'Fee &amp; Cost Breakdown'!$Y$22,'Fee &amp; Cost Breakdown'!$AB$22,'Fee &amp; Cost Breakdown'!$AE$22,'Fee &amp; Cost Breakdown'!$AH$22,'Fee &amp; Cost Breakdown'!$AK$22,'Fee &amp; Cost Breakdown'!$AN$22,'Fee &amp; Cost Breakdown'!$AQ$22)</c:f>
              <c:numCache>
                <c:formatCode>#,##0%;\(#,##0%\)</c:formatCode>
                <c:ptCount val="8"/>
                <c:pt idx="0">
                  <c:v>0.64420308819680716</c:v>
                </c:pt>
                <c:pt idx="1">
                  <c:v>0.66469208934962354</c:v>
                </c:pt>
                <c:pt idx="2">
                  <c:v>0.73</c:v>
                </c:pt>
                <c:pt idx="3">
                  <c:v>0.75932140193885167</c:v>
                </c:pt>
                <c:pt idx="4">
                  <c:v>0.76648667787908298</c:v>
                </c:pt>
                <c:pt idx="5">
                  <c:v>0.77353944990965673</c:v>
                </c:pt>
                <c:pt idx="6">
                  <c:v>0.78096067966452454</c:v>
                </c:pt>
                <c:pt idx="7">
                  <c:v>0.77862787960316127</c:v>
                </c:pt>
              </c:numCache>
            </c:numRef>
          </c:val>
          <c:extLst>
            <c:ext xmlns:c16="http://schemas.microsoft.com/office/drawing/2014/chart" uri="{C3380CC4-5D6E-409C-BE32-E72D297353CC}">
              <c16:uniqueId val="{00000001-4F8A-4D88-86BC-3FF35A8211C4}"/>
            </c:ext>
          </c:extLst>
        </c:ser>
        <c:dLbls>
          <c:showLegendKey val="0"/>
          <c:showVal val="0"/>
          <c:showCatName val="0"/>
          <c:showSerName val="0"/>
          <c:showPercent val="0"/>
          <c:showBubbleSize val="0"/>
        </c:dLbls>
        <c:gapWidth val="30"/>
        <c:overlap val="100"/>
        <c:axId val="547907512"/>
        <c:axId val="547907184"/>
      </c:barChart>
      <c:catAx>
        <c:axId val="5479075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184"/>
        <c:crosses val="autoZero"/>
        <c:auto val="1"/>
        <c:lblAlgn val="ctr"/>
        <c:lblOffset val="100"/>
        <c:noMultiLvlLbl val="0"/>
      </c:catAx>
      <c:valAx>
        <c:axId val="547907184"/>
        <c:scaling>
          <c:orientation val="minMax"/>
        </c:scaling>
        <c:delete val="1"/>
        <c:axPos val="l"/>
        <c:numFmt formatCode="0%" sourceLinked="1"/>
        <c:majorTickMark val="none"/>
        <c:minorTickMark val="none"/>
        <c:tickLblPos val="nextTo"/>
        <c:crossAx val="547907512"/>
        <c:crosses val="autoZero"/>
        <c:crossBetween val="between"/>
      </c:valAx>
      <c:spPr>
        <a:noFill/>
        <a:ln>
          <a:noFill/>
        </a:ln>
        <a:effectLst/>
      </c:spPr>
    </c:plotArea>
    <c:legend>
      <c:legendPos val="b"/>
      <c:layout>
        <c:manualLayout>
          <c:xMode val="edge"/>
          <c:yMode val="edge"/>
          <c:x val="5.210340136054422E-2"/>
          <c:y val="0.90355779569892469"/>
          <c:w val="0.89579319727891171"/>
          <c:h val="9.075224014336917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519274376417234E-2"/>
          <c:y val="5.6899641577060935E-3"/>
          <c:w val="0.97696145124716549"/>
          <c:h val="0.78987231182795703"/>
        </c:manualLayout>
      </c:layout>
      <c:lineChart>
        <c:grouping val="standard"/>
        <c:varyColors val="0"/>
        <c:ser>
          <c:idx val="1"/>
          <c:order val="0"/>
          <c:tx>
            <c:strRef>
              <c:f>Database!$B$81</c:f>
              <c:strCache>
                <c:ptCount val="1"/>
                <c:pt idx="0">
                  <c:v>Germany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43-42AA-BF16-DCF3F4AB59A9}"/>
                </c:ext>
              </c:extLst>
            </c:dLbl>
            <c:dLbl>
              <c:idx val="4"/>
              <c:layout>
                <c:manualLayout>
                  <c:x val="-5.3067800453514842E-2"/>
                  <c:y val="3.42822580645161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43-42AA-BF16-DCF3F4AB59A9}"/>
                </c:ext>
              </c:extLst>
            </c:dLbl>
            <c:dLbl>
              <c:idx val="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43-42AA-BF16-DCF3F4AB59A9}"/>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43-42AA-BF16-DCF3F4AB59A9}"/>
                </c:ext>
              </c:extLst>
            </c:dLbl>
            <c:dLbl>
              <c:idx val="7"/>
              <c:layout>
                <c:manualLayout>
                  <c:x val="-2.5846938775510205E-2"/>
                  <c:y val="5.62414399497717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543-42AA-BF16-DCF3F4AB59A9}"/>
                </c:ext>
              </c:extLst>
            </c:dLbl>
            <c:numFmt formatCode="0%" sourceLinked="0"/>
            <c:spPr>
              <a:noFill/>
              <a:ln>
                <a:noFill/>
              </a:ln>
              <a:effectLst/>
            </c:spPr>
            <c:txPr>
              <a:bodyPr rot="0" spcFirstLastPara="1" vertOverflow="ellipsis" vert="horz" wrap="square" lIns="0" tIns="0" rIns="0" bIns="0" anchor="ctr" anchorCtr="1">
                <a:spAutoFit/>
              </a:bodyPr>
              <a:lstStyle/>
              <a:p>
                <a:pPr>
                  <a:defRPr sz="700" b="1" i="0" u="none" strike="noStrike" kern="1200" baseline="0">
                    <a:solidFill>
                      <a:schemeClr val="accent1"/>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(Database!$V$100,Database!$Y$100,Database!$AB$100,Database!$AE$100,Database!$AH$100,Database!$AK$100,Database!$AN$100,Database!$AQ$100)</c:f>
              <c:numCache>
                <c:formatCode>#,##0.0%;\(#,##0.0%\)</c:formatCode>
                <c:ptCount val="8"/>
                <c:pt idx="0">
                  <c:v>0.37705956907477817</c:v>
                </c:pt>
                <c:pt idx="1">
                  <c:v>0.36093660765276986</c:v>
                </c:pt>
                <c:pt idx="2">
                  <c:v>0.34954407294832823</c:v>
                </c:pt>
                <c:pt idx="3">
                  <c:v>0.31159420289855072</c:v>
                </c:pt>
                <c:pt idx="4">
                  <c:v>0.30453635757171443</c:v>
                </c:pt>
                <c:pt idx="5">
                  <c:v>0.20477290223248654</c:v>
                </c:pt>
                <c:pt idx="6">
                  <c:v>0.12826797385620914</c:v>
                </c:pt>
                <c:pt idx="7">
                  <c:v>0.24099999999999999</c:v>
                </c:pt>
              </c:numCache>
            </c:numRef>
          </c:val>
          <c:smooth val="0"/>
          <c:extLst>
            <c:ext xmlns:c16="http://schemas.microsoft.com/office/drawing/2014/chart" uri="{C3380CC4-5D6E-409C-BE32-E72D297353CC}">
              <c16:uniqueId val="{00000008-1543-42AA-BF16-DCF3F4AB59A9}"/>
            </c:ext>
          </c:extLst>
        </c:ser>
        <c:ser>
          <c:idx val="2"/>
          <c:order val="1"/>
          <c:tx>
            <c:strRef>
              <c:f>Database!$C$101</c:f>
              <c:strCache>
                <c:ptCount val="1"/>
                <c:pt idx="0">
                  <c:v>UK&amp;I</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5"/>
              <c:layout>
                <c:manualLayout>
                  <c:x val="-4.5173242630385593E-2"/>
                  <c:y val="-6.0074850526571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43-42AA-BF16-DCF3F4AB59A9}"/>
                </c:ext>
              </c:extLst>
            </c:dLbl>
            <c:dLbl>
              <c:idx val="6"/>
              <c:layout>
                <c:manualLayout>
                  <c:x val="-2.574337070249877E-3"/>
                  <c:y val="1.4882414882414882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543-42AA-BF16-DCF3F4AB59A9}"/>
                </c:ext>
              </c:extLst>
            </c:dLbl>
            <c:numFmt formatCode="0%" sourceLinked="0"/>
            <c:spPr>
              <a:noFill/>
              <a:ln>
                <a:noFill/>
              </a:ln>
              <a:effectLst/>
            </c:spPr>
            <c:txPr>
              <a:bodyPr rot="0" spcFirstLastPara="1" vertOverflow="ellipsis" vert="horz" wrap="square" lIns="0" tIns="0" rIns="0" bIns="0" anchor="ctr" anchorCtr="1">
                <a:spAutoFit/>
              </a:bodyPr>
              <a:lstStyle/>
              <a:p>
                <a:pPr>
                  <a:defRPr sz="700" b="1" i="0" u="none" strike="noStrike" kern="1200" baseline="0">
                    <a:solidFill>
                      <a:schemeClr val="accent3"/>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(Database!$V$101,Database!$Y$101,Database!$AB$101,Database!$AE$101,Database!$AH$101,Database!$AK$101,Database!$AN$101,Database!$AQ$101)</c:f>
              <c:numCache>
                <c:formatCode>#,##0.0%;\(#,##0.0%\)</c:formatCode>
                <c:ptCount val="8"/>
                <c:pt idx="0">
                  <c:v>0.16789260757631483</c:v>
                </c:pt>
                <c:pt idx="1">
                  <c:v>0.19175561280824441</c:v>
                </c:pt>
                <c:pt idx="2">
                  <c:v>0.16409648082245948</c:v>
                </c:pt>
                <c:pt idx="3">
                  <c:v>0.18202943454686291</c:v>
                </c:pt>
                <c:pt idx="4">
                  <c:v>0.18536770280515541</c:v>
                </c:pt>
                <c:pt idx="5">
                  <c:v>7.3581560283687952E-2</c:v>
                </c:pt>
                <c:pt idx="6">
                  <c:v>5.7185479860765789E-2</c:v>
                </c:pt>
                <c:pt idx="7">
                  <c:v>0.16500000000000001</c:v>
                </c:pt>
              </c:numCache>
            </c:numRef>
          </c:val>
          <c:smooth val="0"/>
          <c:extLst>
            <c:ext xmlns:c16="http://schemas.microsoft.com/office/drawing/2014/chart" uri="{C3380CC4-5D6E-409C-BE32-E72D297353CC}">
              <c16:uniqueId val="{0000000B-1543-42AA-BF16-DCF3F4AB59A9}"/>
            </c:ext>
          </c:extLst>
        </c:ser>
        <c:ser>
          <c:idx val="0"/>
          <c:order val="2"/>
          <c:tx>
            <c:strRef>
              <c:f>Database!$C$99</c:f>
              <c:strCache>
                <c:ptCount val="1"/>
                <c:pt idx="0">
                  <c:v>ANZ</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543-42AA-BF16-DCF3F4AB59A9}"/>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543-42AA-BF16-DCF3F4AB59A9}"/>
                </c:ext>
              </c:extLst>
            </c:dLbl>
            <c:numFmt formatCode="0%" sourceLinked="0"/>
            <c:spPr>
              <a:noFill/>
              <a:ln>
                <a:noFill/>
              </a:ln>
              <a:effectLst/>
            </c:spPr>
            <c:txPr>
              <a:bodyPr rot="0" spcFirstLastPara="1" vertOverflow="ellipsis" vert="horz" wrap="square" lIns="0" tIns="0" rIns="0" bIns="0" anchor="ctr" anchorCtr="1">
                <a:spAutoFit/>
              </a:bodyPr>
              <a:lstStyle/>
              <a:p>
                <a:pPr>
                  <a:defRPr sz="700" b="1" i="0" u="none" strike="noStrike" kern="1200" baseline="0">
                    <a:solidFill>
                      <a:schemeClr val="accent5"/>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(Database!$V$99,Database!$Y$99,Database!$AB$99,Database!$AE$99,Database!$AH$99,Database!$AK$99,Database!$AN$99,Database!$AQ$99)</c:f>
              <c:numCache>
                <c:formatCode>#,##0.0%;\(#,##0.0%\)</c:formatCode>
                <c:ptCount val="8"/>
                <c:pt idx="0">
                  <c:v>0.31867339581831294</c:v>
                </c:pt>
                <c:pt idx="1">
                  <c:v>0.32934131736526945</c:v>
                </c:pt>
                <c:pt idx="2">
                  <c:v>0.34753735473159936</c:v>
                </c:pt>
                <c:pt idx="3">
                  <c:v>0.3465396188565697</c:v>
                </c:pt>
                <c:pt idx="4">
                  <c:v>0.33450881612090683</c:v>
                </c:pt>
                <c:pt idx="5">
                  <c:v>0.28269794721407626</c:v>
                </c:pt>
                <c:pt idx="6">
                  <c:v>0.24828017510944342</c:v>
                </c:pt>
                <c:pt idx="7">
                  <c:v>0.26400000000000001</c:v>
                </c:pt>
              </c:numCache>
            </c:numRef>
          </c:val>
          <c:smooth val="0"/>
          <c:extLst>
            <c:ext xmlns:c16="http://schemas.microsoft.com/office/drawing/2014/chart" uri="{C3380CC4-5D6E-409C-BE32-E72D297353CC}">
              <c16:uniqueId val="{00000011-1543-42AA-BF16-DCF3F4AB59A9}"/>
            </c:ext>
          </c:extLst>
        </c:ser>
        <c:ser>
          <c:idx val="3"/>
          <c:order val="3"/>
          <c:tx>
            <c:strRef>
              <c:f>Database!$C$102</c:f>
              <c:strCache>
                <c:ptCount val="1"/>
                <c:pt idx="0">
                  <c:v>RoW</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5"/>
              <c:layout>
                <c:manualLayout>
                  <c:x val="-5.3180759883757159E-2"/>
                  <c:y val="4.17540657540657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543-42AA-BF16-DCF3F4AB59A9}"/>
                </c:ext>
              </c:extLst>
            </c:dLbl>
            <c:dLbl>
              <c:idx val="6"/>
              <c:layout>
                <c:manualLayout>
                  <c:x val="-3.4229551286771992E-2"/>
                  <c:y val="3.58104598104598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543-42AA-BF16-DCF3F4AB59A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accent2"/>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(Database!$V$102,Database!$Y$102,Database!$AB$102,Database!$AE$102,Database!$AH$102,Database!$AK$102,Database!$AN$102,Database!$AQ$102)</c:f>
              <c:numCache>
                <c:formatCode>#,##0.0%;\(#,##0.0%\)</c:formatCode>
                <c:ptCount val="8"/>
                <c:pt idx="0">
                  <c:v>7.5999999999999998E-2</c:v>
                </c:pt>
                <c:pt idx="1">
                  <c:v>9.4388864723792945E-2</c:v>
                </c:pt>
                <c:pt idx="2">
                  <c:v>9.1847265221878222E-2</c:v>
                </c:pt>
                <c:pt idx="3">
                  <c:v>0.1217570754716981</c:v>
                </c:pt>
                <c:pt idx="4">
                  <c:v>0.11479869423286181</c:v>
                </c:pt>
                <c:pt idx="5">
                  <c:v>4.9955921245959448E-2</c:v>
                </c:pt>
                <c:pt idx="6">
                  <c:v>4.0025616394492473E-2</c:v>
                </c:pt>
                <c:pt idx="7">
                  <c:v>9.5000000000000001E-2</c:v>
                </c:pt>
              </c:numCache>
            </c:numRef>
          </c:val>
          <c:smooth val="0"/>
          <c:extLst>
            <c:ext xmlns:c16="http://schemas.microsoft.com/office/drawing/2014/chart" uri="{C3380CC4-5D6E-409C-BE32-E72D297353CC}">
              <c16:uniqueId val="{00000014-1543-42AA-BF16-DCF3F4AB59A9}"/>
            </c:ext>
          </c:extLst>
        </c:ser>
        <c:ser>
          <c:idx val="4"/>
          <c:order val="4"/>
          <c:tx>
            <c:strRef>
              <c:f>Database!$C$103</c:f>
              <c:strCache>
                <c:ptCount val="1"/>
                <c:pt idx="0">
                  <c:v>GROUP</c:v>
                </c:pt>
              </c:strCache>
            </c:strRef>
          </c:tx>
          <c:spPr>
            <a:ln w="28575" cap="rnd">
              <a:solidFill>
                <a:schemeClr val="tx1"/>
              </a:solidFill>
              <a:prstDash val="sysDash"/>
              <a:round/>
            </a:ln>
            <a:effectLst/>
          </c:spPr>
          <c:marker>
            <c:symbol val="circle"/>
            <c:size val="5"/>
            <c:spPr>
              <a:solidFill>
                <a:schemeClr val="tx1"/>
              </a:solidFill>
              <a:ln w="9525">
                <a:solidFill>
                  <a:schemeClr val="tx1"/>
                </a:solidFill>
                <a:prstDash val="sysDash"/>
              </a:ln>
              <a:effectLst/>
            </c:spPr>
          </c:marker>
          <c:dLbls>
            <c:dLbl>
              <c:idx val="6"/>
              <c:layout>
                <c:manualLayout>
                  <c:x val="-5.5039002267573696E-2"/>
                  <c:y val="4.05798470372850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543-42AA-BF16-DCF3F4AB59A9}"/>
                </c:ext>
              </c:extLst>
            </c:dLbl>
            <c:dLbl>
              <c:idx val="7"/>
              <c:layout>
                <c:manualLayout>
                  <c:x val="-2.0497278911564627E-2"/>
                  <c:y val="-3.3653093749160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543-42AA-BF16-DCF3F4AB59A9}"/>
                </c:ext>
              </c:extLst>
            </c:dLbl>
            <c:spPr>
              <a:noFill/>
              <a:ln>
                <a:noFill/>
              </a:ln>
              <a:effectLst/>
            </c:spPr>
            <c:txPr>
              <a:bodyPr rot="0" spcFirstLastPara="1" vertOverflow="ellipsis" vert="horz" wrap="square" lIns="0" tIns="0" rIns="0" bIns="0" anchor="ctr" anchorCtr="1">
                <a:spAutoFit/>
              </a:bodyPr>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(Database!$V$103,Database!$Y$103,Database!$AB$103,Database!$AE$103,Database!$AH$103,Database!$AK$103,Database!$AN$103,Database!$AQ$103)</c:f>
              <c:numCache>
                <c:formatCode>#,##0.0%;\(#,##0.0%\)</c:formatCode>
                <c:ptCount val="8"/>
                <c:pt idx="0">
                  <c:v>0.21473436273226901</c:v>
                </c:pt>
                <c:pt idx="1">
                  <c:v>0.22337405899049737</c:v>
                </c:pt>
                <c:pt idx="2">
                  <c:v>0.22155876807039596</c:v>
                </c:pt>
                <c:pt idx="3">
                  <c:v>0.22688292319164802</c:v>
                </c:pt>
                <c:pt idx="4">
                  <c:v>0.22023546074178985</c:v>
                </c:pt>
                <c:pt idx="5">
                  <c:v>0.1355149568359767</c:v>
                </c:pt>
                <c:pt idx="6">
                  <c:v>0.10358348763751224</c:v>
                </c:pt>
                <c:pt idx="7">
                  <c:v>0.17699999999999999</c:v>
                </c:pt>
              </c:numCache>
            </c:numRef>
          </c:val>
          <c:smooth val="0"/>
          <c:extLst>
            <c:ext xmlns:c16="http://schemas.microsoft.com/office/drawing/2014/chart" uri="{C3380CC4-5D6E-409C-BE32-E72D297353CC}">
              <c16:uniqueId val="{0000001D-1543-42AA-BF16-DCF3F4AB59A9}"/>
            </c:ext>
          </c:extLst>
        </c:ser>
        <c:dLbls>
          <c:showLegendKey val="0"/>
          <c:showVal val="0"/>
          <c:showCatName val="0"/>
          <c:showSerName val="0"/>
          <c:showPercent val="0"/>
          <c:showBubbleSize val="0"/>
        </c:dLbls>
        <c:marker val="1"/>
        <c:smooth val="0"/>
        <c:axId val="547907512"/>
        <c:axId val="547907184"/>
      </c:lineChart>
      <c:catAx>
        <c:axId val="547907512"/>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184"/>
        <c:crosses val="autoZero"/>
        <c:auto val="1"/>
        <c:lblAlgn val="ctr"/>
        <c:lblOffset val="0"/>
        <c:noMultiLvlLbl val="0"/>
      </c:catAx>
      <c:valAx>
        <c:axId val="547907184"/>
        <c:scaling>
          <c:orientation val="minMax"/>
        </c:scaling>
        <c:delete val="0"/>
        <c:axPos val="l"/>
        <c:majorGridlines>
          <c:spPr>
            <a:ln w="9525" cap="flat" cmpd="sng" algn="ctr">
              <a:solidFill>
                <a:schemeClr val="bg1">
                  <a:lumMod val="85000"/>
                </a:schemeClr>
              </a:solidFill>
              <a:round/>
            </a:ln>
            <a:effectLst/>
          </c:spPr>
        </c:majorGridlines>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512"/>
        <c:crosses val="autoZero"/>
        <c:crossBetween val="between"/>
      </c:valAx>
      <c:spPr>
        <a:noFill/>
        <a:ln>
          <a:noFill/>
        </a:ln>
        <a:effectLst/>
      </c:spPr>
    </c:plotArea>
    <c:legend>
      <c:legendPos val="b"/>
      <c:layout>
        <c:manualLayout>
          <c:xMode val="edge"/>
          <c:yMode val="edge"/>
          <c:x val="1.4662811791383219E-2"/>
          <c:y val="0.90100000000000002"/>
          <c:w val="0.97067437641723353"/>
          <c:h val="9.9000000000000019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519274376417234E-2"/>
          <c:y val="5.6899641577060935E-3"/>
          <c:w val="0.97696145124716549"/>
          <c:h val="0.80125224014336915"/>
        </c:manualLayout>
      </c:layout>
      <c:barChart>
        <c:barDir val="col"/>
        <c:grouping val="percentStacked"/>
        <c:varyColors val="0"/>
        <c:ser>
          <c:idx val="1"/>
          <c:order val="0"/>
          <c:tx>
            <c:strRef>
              <c:f>'Fee &amp; Cost Breakdown'!$B$10</c:f>
              <c:strCache>
                <c:ptCount val="1"/>
                <c:pt idx="0">
                  <c:v>Germany</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Breakdown'!$AQ$5,'Fee &amp; Cost Breakdown'!$AT$5)</c:f>
              <c:strCache>
                <c:ptCount val="9"/>
                <c:pt idx="0">
                  <c:v>FY15</c:v>
                </c:pt>
                <c:pt idx="1">
                  <c:v>FY16</c:v>
                </c:pt>
                <c:pt idx="2">
                  <c:v>FY17</c:v>
                </c:pt>
                <c:pt idx="3">
                  <c:v>FY18</c:v>
                </c:pt>
                <c:pt idx="4">
                  <c:v>FY19</c:v>
                </c:pt>
                <c:pt idx="5">
                  <c:v>FY20</c:v>
                </c:pt>
                <c:pt idx="6">
                  <c:v>FY21</c:v>
                </c:pt>
                <c:pt idx="7">
                  <c:v>FY22</c:v>
                </c:pt>
                <c:pt idx="8">
                  <c:v>FY23</c:v>
                </c:pt>
              </c:strCache>
            </c:strRef>
          </c:cat>
          <c:val>
            <c:numRef>
              <c:f>('Fee &amp; Cost Breakdown'!$V$10,'Fee &amp; Cost Breakdown'!$Y$10,'Fee &amp; Cost Breakdown'!$AB$10,'Fee &amp; Cost Breakdown'!$AE$10,'Fee &amp; Cost Breakdown'!$AH$10,'Fee &amp; Cost Breakdown'!$AK$10,'Fee &amp; Cost Breakdown'!$AN$10,'Fee &amp; Cost Breakdown'!$AQ$10)</c:f>
              <c:numCache>
                <c:formatCode>#,##0%;\(#,##0%\)</c:formatCode>
                <c:ptCount val="8"/>
                <c:pt idx="0">
                  <c:v>0.20649044752682544</c:v>
                </c:pt>
                <c:pt idx="1">
                  <c:v>0.21609280513390103</c:v>
                </c:pt>
                <c:pt idx="2">
                  <c:v>0.2412528807877645</c:v>
                </c:pt>
                <c:pt idx="3">
                  <c:v>0.25727069351230425</c:v>
                </c:pt>
                <c:pt idx="4">
                  <c:v>0.26538018943082237</c:v>
                </c:pt>
                <c:pt idx="5">
                  <c:v>0.26079100582212406</c:v>
                </c:pt>
                <c:pt idx="6">
                  <c:v>0.26663762117416406</c:v>
                </c:pt>
                <c:pt idx="7">
                  <c:v>0.26</c:v>
                </c:pt>
              </c:numCache>
            </c:numRef>
          </c:val>
          <c:extLst>
            <c:ext xmlns:c16="http://schemas.microsoft.com/office/drawing/2014/chart" uri="{C3380CC4-5D6E-409C-BE32-E72D297353CC}">
              <c16:uniqueId val="{00000001-DA29-4A17-A997-45677D84E215}"/>
            </c:ext>
          </c:extLst>
        </c:ser>
        <c:ser>
          <c:idx val="2"/>
          <c:order val="1"/>
          <c:tx>
            <c:strRef>
              <c:f>'Fee &amp; Cost Breakdown'!$B$11</c:f>
              <c:strCache>
                <c:ptCount val="1"/>
                <c:pt idx="0">
                  <c:v>UK &amp; Ireland</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Breakdown'!$AQ$5,'Fee &amp; Cost Breakdown'!$AT$5)</c:f>
              <c:strCache>
                <c:ptCount val="9"/>
                <c:pt idx="0">
                  <c:v>FY15</c:v>
                </c:pt>
                <c:pt idx="1">
                  <c:v>FY16</c:v>
                </c:pt>
                <c:pt idx="2">
                  <c:v>FY17</c:v>
                </c:pt>
                <c:pt idx="3">
                  <c:v>FY18</c:v>
                </c:pt>
                <c:pt idx="4">
                  <c:v>FY19</c:v>
                </c:pt>
                <c:pt idx="5">
                  <c:v>FY20</c:v>
                </c:pt>
                <c:pt idx="6">
                  <c:v>FY21</c:v>
                </c:pt>
                <c:pt idx="7">
                  <c:v>FY22</c:v>
                </c:pt>
                <c:pt idx="8">
                  <c:v>FY23</c:v>
                </c:pt>
              </c:strCache>
            </c:strRef>
          </c:cat>
          <c:val>
            <c:numRef>
              <c:f>('Fee &amp; Cost Breakdown'!$V$11,'Fee &amp; Cost Breakdown'!$Y$11,'Fee &amp; Cost Breakdown'!$AB$11,'Fee &amp; Cost Breakdown'!$AE$11,'Fee &amp; Cost Breakdown'!$AH$11,'Fee &amp; Cost Breakdown'!$AK$11,'Fee &amp; Cost Breakdown'!$AN$11,'Fee &amp; Cost Breakdown'!$AQ$11)</c:f>
              <c:numCache>
                <c:formatCode>#,##0%;\(#,##0%\)</c:formatCode>
                <c:ptCount val="8"/>
                <c:pt idx="0">
                  <c:v>0.35579691180319284</c:v>
                </c:pt>
                <c:pt idx="1">
                  <c:v>0.33530791065037641</c:v>
                </c:pt>
                <c:pt idx="2">
                  <c:v>0.27</c:v>
                </c:pt>
                <c:pt idx="3">
                  <c:v>0.24067859806114839</c:v>
                </c:pt>
                <c:pt idx="4">
                  <c:v>0.23351332212091705</c:v>
                </c:pt>
                <c:pt idx="5">
                  <c:v>0.2264605500903433</c:v>
                </c:pt>
                <c:pt idx="6">
                  <c:v>0.21903932033547543</c:v>
                </c:pt>
                <c:pt idx="7">
                  <c:v>0.22</c:v>
                </c:pt>
              </c:numCache>
            </c:numRef>
          </c:val>
          <c:extLst>
            <c:ext xmlns:c16="http://schemas.microsoft.com/office/drawing/2014/chart" uri="{C3380CC4-5D6E-409C-BE32-E72D297353CC}">
              <c16:uniqueId val="{00000002-DA29-4A17-A997-45677D84E215}"/>
            </c:ext>
          </c:extLst>
        </c:ser>
        <c:ser>
          <c:idx val="0"/>
          <c:order val="2"/>
          <c:tx>
            <c:strRef>
              <c:f>'Fee &amp; Cost Breakdown'!$B$9</c:f>
              <c:strCache>
                <c:ptCount val="1"/>
                <c:pt idx="0">
                  <c:v>Australia &amp; NZ</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Breakdown'!$AQ$5,'Fee &amp; Cost Breakdown'!$AT$5)</c:f>
              <c:strCache>
                <c:ptCount val="9"/>
                <c:pt idx="0">
                  <c:v>FY15</c:v>
                </c:pt>
                <c:pt idx="1">
                  <c:v>FY16</c:v>
                </c:pt>
                <c:pt idx="2">
                  <c:v>FY17</c:v>
                </c:pt>
                <c:pt idx="3">
                  <c:v>FY18</c:v>
                </c:pt>
                <c:pt idx="4">
                  <c:v>FY19</c:v>
                </c:pt>
                <c:pt idx="5">
                  <c:v>FY20</c:v>
                </c:pt>
                <c:pt idx="6">
                  <c:v>FY21</c:v>
                </c:pt>
                <c:pt idx="7">
                  <c:v>FY22</c:v>
                </c:pt>
                <c:pt idx="8">
                  <c:v>FY23</c:v>
                </c:pt>
              </c:strCache>
            </c:strRef>
          </c:cat>
          <c:val>
            <c:numRef>
              <c:f>('Fee &amp; Cost Breakdown'!$V$9,'Fee &amp; Cost Breakdown'!$Y$9,'Fee &amp; Cost Breakdown'!$AB$9,'Fee &amp; Cost Breakdown'!$AE$9,'Fee &amp; Cost Breakdown'!$AH$9,'Fee &amp; Cost Breakdown'!$AK$9,'Fee &amp; Cost Breakdown'!$AN$9,'Fee &amp; Cost Breakdown'!$AQ$9)</c:f>
              <c:numCache>
                <c:formatCode>#,##0%;\(#,##0%\)</c:formatCode>
                <c:ptCount val="8"/>
                <c:pt idx="0">
                  <c:v>0.18149699031667099</c:v>
                </c:pt>
                <c:pt idx="1">
                  <c:v>0.16487720597309638</c:v>
                </c:pt>
                <c:pt idx="2">
                  <c:v>0.18929394510789857</c:v>
                </c:pt>
                <c:pt idx="3">
                  <c:v>0.18586875466070099</c:v>
                </c:pt>
                <c:pt idx="4">
                  <c:v>0.17571036558378331</c:v>
                </c:pt>
                <c:pt idx="5">
                  <c:v>0.17115037141136316</c:v>
                </c:pt>
                <c:pt idx="6">
                  <c:v>0.17416403441890863</c:v>
                </c:pt>
                <c:pt idx="7">
                  <c:v>0.16</c:v>
                </c:pt>
              </c:numCache>
            </c:numRef>
          </c:val>
          <c:extLst>
            <c:ext xmlns:c16="http://schemas.microsoft.com/office/drawing/2014/chart" uri="{C3380CC4-5D6E-409C-BE32-E72D297353CC}">
              <c16:uniqueId val="{00000000-DA29-4A17-A997-45677D84E215}"/>
            </c:ext>
          </c:extLst>
        </c:ser>
        <c:ser>
          <c:idx val="3"/>
          <c:order val="3"/>
          <c:tx>
            <c:strRef>
              <c:f>'Fee &amp; Cost Breakdown'!$B$12</c:f>
              <c:strCache>
                <c:ptCount val="1"/>
                <c:pt idx="0">
                  <c:v>Rest of World</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Breakdown'!$AQ$5,'Fee &amp; Cost Breakdown'!$AT$5)</c:f>
              <c:strCache>
                <c:ptCount val="9"/>
                <c:pt idx="0">
                  <c:v>FY15</c:v>
                </c:pt>
                <c:pt idx="1">
                  <c:v>FY16</c:v>
                </c:pt>
                <c:pt idx="2">
                  <c:v>FY17</c:v>
                </c:pt>
                <c:pt idx="3">
                  <c:v>FY18</c:v>
                </c:pt>
                <c:pt idx="4">
                  <c:v>FY19</c:v>
                </c:pt>
                <c:pt idx="5">
                  <c:v>FY20</c:v>
                </c:pt>
                <c:pt idx="6">
                  <c:v>FY21</c:v>
                </c:pt>
                <c:pt idx="7">
                  <c:v>FY22</c:v>
                </c:pt>
                <c:pt idx="8">
                  <c:v>FY23</c:v>
                </c:pt>
              </c:strCache>
            </c:strRef>
          </c:cat>
          <c:val>
            <c:numRef>
              <c:f>('Fee &amp; Cost Breakdown'!$V$12,'Fee &amp; Cost Breakdown'!$Y$12,'Fee &amp; Cost Breakdown'!$AB$12,'Fee &amp; Cost Breakdown'!$AE$12,'Fee &amp; Cost Breakdown'!$AH$12,'Fee &amp; Cost Breakdown'!$AK$12,'Fee &amp; Cost Breakdown'!$AN$12,'Fee &amp; Cost Breakdown'!$AQ$12)</c:f>
              <c:numCache>
                <c:formatCode>#,##0%;\(#,##0%\)</c:formatCode>
                <c:ptCount val="8"/>
                <c:pt idx="0">
                  <c:v>0.25621565035331068</c:v>
                </c:pt>
                <c:pt idx="1">
                  <c:v>0.28372207824262619</c:v>
                </c:pt>
                <c:pt idx="2">
                  <c:v>0.30452545568824635</c:v>
                </c:pt>
                <c:pt idx="3">
                  <c:v>0.3161819537658464</c:v>
                </c:pt>
                <c:pt idx="4">
                  <c:v>0.32539612286447728</c:v>
                </c:pt>
                <c:pt idx="5">
                  <c:v>0.34159807267616943</c:v>
                </c:pt>
                <c:pt idx="6">
                  <c:v>0.34015902407145193</c:v>
                </c:pt>
                <c:pt idx="7">
                  <c:v>0.36</c:v>
                </c:pt>
              </c:numCache>
            </c:numRef>
          </c:val>
          <c:extLst>
            <c:ext xmlns:c16="http://schemas.microsoft.com/office/drawing/2014/chart" uri="{C3380CC4-5D6E-409C-BE32-E72D297353CC}">
              <c16:uniqueId val="{00000003-DA29-4A17-A997-45677D84E215}"/>
            </c:ext>
          </c:extLst>
        </c:ser>
        <c:dLbls>
          <c:showLegendKey val="0"/>
          <c:showVal val="0"/>
          <c:showCatName val="0"/>
          <c:showSerName val="0"/>
          <c:showPercent val="0"/>
          <c:showBubbleSize val="0"/>
        </c:dLbls>
        <c:gapWidth val="30"/>
        <c:overlap val="100"/>
        <c:axId val="547907512"/>
        <c:axId val="547907184"/>
      </c:barChart>
      <c:catAx>
        <c:axId val="5479075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184"/>
        <c:crosses val="autoZero"/>
        <c:auto val="1"/>
        <c:lblAlgn val="ctr"/>
        <c:lblOffset val="100"/>
        <c:noMultiLvlLbl val="0"/>
      </c:catAx>
      <c:valAx>
        <c:axId val="547907184"/>
        <c:scaling>
          <c:orientation val="minMax"/>
        </c:scaling>
        <c:delete val="1"/>
        <c:axPos val="l"/>
        <c:numFmt formatCode="0%" sourceLinked="1"/>
        <c:majorTickMark val="none"/>
        <c:minorTickMark val="none"/>
        <c:tickLblPos val="nextTo"/>
        <c:crossAx val="547907512"/>
        <c:crosses val="autoZero"/>
        <c:crossBetween val="between"/>
      </c:valAx>
      <c:spPr>
        <a:noFill/>
        <a:ln>
          <a:noFill/>
        </a:ln>
        <a:effectLst/>
      </c:spPr>
    </c:plotArea>
    <c:legend>
      <c:legendPos val="b"/>
      <c:layout>
        <c:manualLayout>
          <c:xMode val="edge"/>
          <c:yMode val="edge"/>
          <c:x val="5.210340136054422E-2"/>
          <c:y val="0.90355779569892469"/>
          <c:w val="0.89579319727891171"/>
          <c:h val="9.075224014336917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'FY22 PLAN'!$AV$8</c:f>
          <c:strCache>
            <c:ptCount val="1"/>
            <c:pt idx="0">
              <c:v>Australia &amp; NZ</c:v>
            </c:pt>
          </c:strCache>
        </c:strRef>
      </c:tx>
      <c:overlay val="0"/>
      <c:spPr>
        <a:solidFill>
          <a:schemeClr val="accent3"/>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v>Base</c:v>
          </c:tx>
          <c:spPr>
            <a:solidFill>
              <a:schemeClr val="accent1"/>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8-14F0-4753-A7E7-97F7E224146C}"/>
              </c:ext>
            </c:extLst>
          </c:dPt>
          <c:dPt>
            <c:idx val="1"/>
            <c:invertIfNegative val="0"/>
            <c:bubble3D val="0"/>
            <c:extLst>
              <c:ext xmlns:c16="http://schemas.microsoft.com/office/drawing/2014/chart" uri="{C3380CC4-5D6E-409C-BE32-E72D297353CC}">
                <c16:uniqueId val="{0000000B-5F85-4C47-958F-79BE25E30F1D}"/>
              </c:ext>
            </c:extLst>
          </c:dPt>
          <c:dPt>
            <c:idx val="2"/>
            <c:invertIfNegative val="0"/>
            <c:bubble3D val="0"/>
            <c:extLst>
              <c:ext xmlns:c16="http://schemas.microsoft.com/office/drawing/2014/chart" uri="{C3380CC4-5D6E-409C-BE32-E72D297353CC}">
                <c16:uniqueId val="{0000000C-5F85-4C47-958F-79BE25E30F1D}"/>
              </c:ext>
            </c:extLst>
          </c:dPt>
          <c:dPt>
            <c:idx val="3"/>
            <c:invertIfNegative val="0"/>
            <c:bubble3D val="0"/>
            <c:spPr>
              <a:solidFill>
                <a:schemeClr val="tx2"/>
              </a:solidFill>
              <a:ln>
                <a:noFill/>
              </a:ln>
              <a:effectLst/>
            </c:spPr>
            <c:extLst>
              <c:ext xmlns:c16="http://schemas.microsoft.com/office/drawing/2014/chart" uri="{C3380CC4-5D6E-409C-BE32-E72D297353CC}">
                <c16:uniqueId val="{00000006-25D1-451F-911F-5254B92BBA0A}"/>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'FY22 PLAN'!$AX$7:$BA$7</c:f>
              <c:strCache>
                <c:ptCount val="4"/>
                <c:pt idx="0">
                  <c:v>FY17</c:v>
                </c:pt>
                <c:pt idx="1">
                  <c:v>FY18</c:v>
                </c:pt>
                <c:pt idx="2">
                  <c:v>FY19</c:v>
                </c:pt>
                <c:pt idx="3">
                  <c:v>FY22</c:v>
                </c:pt>
              </c:strCache>
            </c:strRef>
          </c:cat>
          <c:val>
            <c:numRef>
              <c:f>'FY22 PLAN'!$AX$8:$BA$8</c:f>
              <c:numCache>
                <c:formatCode>#,##0;\(#,##0\)</c:formatCode>
                <c:ptCount val="4"/>
                <c:pt idx="0">
                  <c:v>62.8</c:v>
                </c:pt>
                <c:pt idx="1">
                  <c:v>69.099999999999994</c:v>
                </c:pt>
                <c:pt idx="2">
                  <c:v>66.400000000000006</c:v>
                </c:pt>
                <c:pt idx="3">
                  <c:v>74.748721017651221</c:v>
                </c:pt>
              </c:numCache>
            </c:numRef>
          </c:val>
          <c:extLst>
            <c:ext xmlns:c16="http://schemas.microsoft.com/office/drawing/2014/chart" uri="{C3380CC4-5D6E-409C-BE32-E72D297353CC}">
              <c16:uniqueId val="{00000001-5F85-4C47-958F-79BE25E30F1D}"/>
            </c:ext>
          </c:extLst>
        </c:ser>
        <c:ser>
          <c:idx val="1"/>
          <c:order val="1"/>
          <c:tx>
            <c:v>2nd</c:v>
          </c:tx>
          <c:spPr>
            <a:solidFill>
              <a:schemeClr val="accent2"/>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8-5F85-4C47-958F-79BE25E30F1D}"/>
              </c:ext>
            </c:extLst>
          </c:dPt>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5F85-4C47-958F-79BE25E30F1D}"/>
                </c:ext>
              </c:extLst>
            </c:dLbl>
            <c:dLbl>
              <c:idx val="1"/>
              <c:tx>
                <c:rich>
                  <a:bodyPr/>
                  <a:lstStyle/>
                  <a:p>
                    <a:fld id="{21731B55-4B26-4CE0-A932-EFC098205EE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F85-4C47-958F-79BE25E30F1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5F85-4C47-958F-79BE25E30F1D}"/>
                </c:ext>
              </c:extLst>
            </c:dLbl>
            <c:dLbl>
              <c:idx val="3"/>
              <c:tx>
                <c:rich>
                  <a:bodyPr/>
                  <a:lstStyle/>
                  <a:p>
                    <a:fld id="{B02B7A1D-C524-4120-B470-BD7B964681E6}"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F85-4C47-958F-79BE25E30F1D}"/>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'FY22 PLAN'!$AX$9:$BA$9</c:f>
              <c:numCache>
                <c:formatCode>#,##0;\(#,##0\)</c:formatCode>
                <c:ptCount val="4"/>
                <c:pt idx="3">
                  <c:v>14.997093261059987</c:v>
                </c:pt>
              </c:numCache>
            </c:numRef>
          </c:val>
          <c:extLst>
            <c:ext xmlns:c15="http://schemas.microsoft.com/office/drawing/2012/chart" uri="{02D57815-91ED-43cb-92C2-25804820EDAC}">
              <c15:datalabelsRange>
                <c15:f>'FY22 PLAN'!$BC$9:$BF$9</c15:f>
                <c15:dlblRangeCache>
                  <c:ptCount val="4"/>
                  <c:pt idx="1">
                    <c:v>35</c:v>
                  </c:pt>
                  <c:pt idx="3">
                    <c:v>90</c:v>
                  </c:pt>
                </c15:dlblRangeCache>
              </c15:datalabelsRange>
            </c:ext>
            <c:ext xmlns:c16="http://schemas.microsoft.com/office/drawing/2014/chart" uri="{C3380CC4-5D6E-409C-BE32-E72D297353CC}">
              <c16:uniqueId val="{00000003-5F85-4C47-958F-79BE25E30F1D}"/>
            </c:ext>
          </c:extLst>
        </c:ser>
        <c:ser>
          <c:idx val="2"/>
          <c:order val="2"/>
          <c:tx>
            <c:v>3rd</c:v>
          </c:tx>
          <c:spPr>
            <a:solidFill>
              <a:schemeClr val="accent3"/>
            </a:solidFill>
            <a:ln>
              <a:noFill/>
            </a:ln>
            <a:effectLst/>
          </c:spPr>
          <c:invertIfNegative val="0"/>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5F85-4C47-958F-79BE25E30F1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F85-4C47-958F-79BE25E30F1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5F85-4C47-958F-79BE25E30F1D}"/>
                </c:ext>
              </c:extLst>
            </c:dLbl>
            <c:dLbl>
              <c:idx val="3"/>
              <c:tx>
                <c:rich>
                  <a:bodyPr/>
                  <a:lstStyle/>
                  <a:p>
                    <a:fld id="{E17E1AFC-B1E0-420B-B491-DCEB6314D09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F85-4C47-958F-79BE25E30F1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'FY22 PLAN'!$AX$10:$BA$10</c:f>
              <c:numCache>
                <c:formatCode>#,##0;\(#,##0\)</c:formatCode>
                <c:ptCount val="4"/>
                <c:pt idx="3">
                  <c:v>15.071250162500917</c:v>
                </c:pt>
              </c:numCache>
            </c:numRef>
          </c:val>
          <c:extLst>
            <c:ext xmlns:c15="http://schemas.microsoft.com/office/drawing/2012/chart" uri="{02D57815-91ED-43cb-92C2-25804820EDAC}">
              <c15:datalabelsRange>
                <c15:f>'FY22 PLAN'!$BC$10:$BF$10</c15:f>
                <c15:dlblRangeCache>
                  <c:ptCount val="4"/>
                  <c:pt idx="3">
                    <c:v>105</c:v>
                  </c:pt>
                </c15:dlblRangeCache>
              </c15:datalabelsRange>
            </c:ext>
            <c:ext xmlns:c16="http://schemas.microsoft.com/office/drawing/2014/chart" uri="{C3380CC4-5D6E-409C-BE32-E72D297353CC}">
              <c16:uniqueId val="{00000004-5F85-4C47-958F-79BE25E30F1D}"/>
            </c:ext>
          </c:extLst>
        </c:ser>
        <c:dLbls>
          <c:showLegendKey val="0"/>
          <c:showVal val="0"/>
          <c:showCatName val="0"/>
          <c:showSerName val="0"/>
          <c:showPercent val="0"/>
          <c:showBubbleSize val="0"/>
        </c:dLbls>
        <c:gapWidth val="25"/>
        <c:overlap val="100"/>
        <c:axId val="866732720"/>
        <c:axId val="866734688"/>
      </c:barChart>
      <c:catAx>
        <c:axId val="866732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66734688"/>
        <c:crosses val="autoZero"/>
        <c:auto val="1"/>
        <c:lblAlgn val="ctr"/>
        <c:lblOffset val="100"/>
        <c:noMultiLvlLbl val="0"/>
      </c:catAx>
      <c:valAx>
        <c:axId val="866734688"/>
        <c:scaling>
          <c:orientation val="minMax"/>
          <c:max val="120"/>
        </c:scaling>
        <c:delete val="1"/>
        <c:axPos val="t"/>
        <c:numFmt formatCode="#,##0;\(#,##0\)" sourceLinked="1"/>
        <c:majorTickMark val="out"/>
        <c:minorTickMark val="none"/>
        <c:tickLblPos val="nextTo"/>
        <c:crossAx val="866732720"/>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'FY22 PLAN'!$AV$11</c:f>
          <c:strCache>
            <c:ptCount val="1"/>
            <c:pt idx="0">
              <c:v>Germany</c:v>
            </c:pt>
          </c:strCache>
        </c:strRef>
      </c:tx>
      <c:overlay val="0"/>
      <c:spPr>
        <a:solidFill>
          <a:schemeClr val="tx2"/>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6-A1EF-4610-B8B5-B5198B1B69D6}"/>
              </c:ext>
            </c:extLst>
          </c:dPt>
          <c:dPt>
            <c:idx val="1"/>
            <c:invertIfNegative val="0"/>
            <c:bubble3D val="0"/>
            <c:extLst>
              <c:ext xmlns:c16="http://schemas.microsoft.com/office/drawing/2014/chart" uri="{C3380CC4-5D6E-409C-BE32-E72D297353CC}">
                <c16:uniqueId val="{0000000B-5F85-4C47-958F-79BE25E30F1D}"/>
              </c:ext>
            </c:extLst>
          </c:dPt>
          <c:dPt>
            <c:idx val="2"/>
            <c:invertIfNegative val="0"/>
            <c:bubble3D val="0"/>
            <c:extLst>
              <c:ext xmlns:c16="http://schemas.microsoft.com/office/drawing/2014/chart" uri="{C3380CC4-5D6E-409C-BE32-E72D297353CC}">
                <c16:uniqueId val="{0000000C-5F85-4C47-958F-79BE25E30F1D}"/>
              </c:ext>
            </c:extLst>
          </c:dPt>
          <c:dPt>
            <c:idx val="3"/>
            <c:invertIfNegative val="0"/>
            <c:bubble3D val="0"/>
            <c:spPr>
              <a:solidFill>
                <a:schemeClr val="tx2"/>
              </a:solidFill>
              <a:ln>
                <a:noFill/>
              </a:ln>
              <a:effectLst/>
            </c:spPr>
            <c:extLst>
              <c:ext xmlns:c16="http://schemas.microsoft.com/office/drawing/2014/chart" uri="{C3380CC4-5D6E-409C-BE32-E72D297353CC}">
                <c16:uniqueId val="{00000007-A1EF-4610-B8B5-B5198B1B69D6}"/>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'FY22 PLAN'!$AX$7:$BA$7</c:f>
              <c:strCache>
                <c:ptCount val="4"/>
                <c:pt idx="0">
                  <c:v>FY17</c:v>
                </c:pt>
                <c:pt idx="1">
                  <c:v>FY18</c:v>
                </c:pt>
                <c:pt idx="2">
                  <c:v>FY19</c:v>
                </c:pt>
                <c:pt idx="3">
                  <c:v>FY22</c:v>
                </c:pt>
              </c:strCache>
            </c:strRef>
          </c:cat>
          <c:val>
            <c:numRef>
              <c:f>'FY22 PLAN'!$AX$11:$BA$11</c:f>
              <c:numCache>
                <c:formatCode>#,##0;\(#,##0\)</c:formatCode>
                <c:ptCount val="4"/>
                <c:pt idx="0">
                  <c:v>80.5</c:v>
                </c:pt>
                <c:pt idx="1">
                  <c:v>86</c:v>
                </c:pt>
                <c:pt idx="2">
                  <c:v>91.3</c:v>
                </c:pt>
                <c:pt idx="3">
                  <c:v>135.37866534500006</c:v>
                </c:pt>
              </c:numCache>
            </c:numRef>
          </c:val>
          <c:extLst>
            <c:ext xmlns:c16="http://schemas.microsoft.com/office/drawing/2014/chart" uri="{C3380CC4-5D6E-409C-BE32-E72D297353CC}">
              <c16:uniqueId val="{00000001-5F85-4C47-958F-79BE25E30F1D}"/>
            </c:ext>
          </c:extLst>
        </c:ser>
        <c:ser>
          <c:idx val="1"/>
          <c:order val="1"/>
          <c:spPr>
            <a:solidFill>
              <a:schemeClr val="accent2"/>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8-5F85-4C47-958F-79BE25E30F1D}"/>
              </c:ext>
            </c:extLst>
          </c:dPt>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5F85-4C47-958F-79BE25E30F1D}"/>
                </c:ext>
              </c:extLst>
            </c:dLbl>
            <c:dLbl>
              <c:idx val="1"/>
              <c:tx>
                <c:rich>
                  <a:bodyPr/>
                  <a:lstStyle/>
                  <a:p>
                    <a:fld id="{0BE26C34-9515-4BEA-906F-2FD4E442263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F85-4C47-958F-79BE25E30F1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5F85-4C47-958F-79BE25E30F1D}"/>
                </c:ext>
              </c:extLst>
            </c:dLbl>
            <c:dLbl>
              <c:idx val="3"/>
              <c:tx>
                <c:rich>
                  <a:bodyPr/>
                  <a:lstStyle/>
                  <a:p>
                    <a:fld id="{DA0B1B9A-8EA2-46CD-8573-0D0F1F14A95A}"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F85-4C47-958F-79BE25E30F1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'FY22 PLAN'!$AX$7:$BA$7</c:f>
              <c:strCache>
                <c:ptCount val="4"/>
                <c:pt idx="0">
                  <c:v>FY17</c:v>
                </c:pt>
                <c:pt idx="1">
                  <c:v>FY18</c:v>
                </c:pt>
                <c:pt idx="2">
                  <c:v>FY19</c:v>
                </c:pt>
                <c:pt idx="3">
                  <c:v>FY22</c:v>
                </c:pt>
              </c:strCache>
            </c:strRef>
          </c:cat>
          <c:val>
            <c:numRef>
              <c:f>'FY22 PLAN'!$AX$12:$BA$12</c:f>
              <c:numCache>
                <c:formatCode>#,##0;\(#,##0\)</c:formatCode>
                <c:ptCount val="4"/>
                <c:pt idx="3">
                  <c:v>24.799424881778066</c:v>
                </c:pt>
              </c:numCache>
            </c:numRef>
          </c:val>
          <c:extLst>
            <c:ext xmlns:c15="http://schemas.microsoft.com/office/drawing/2012/chart" uri="{02D57815-91ED-43cb-92C2-25804820EDAC}">
              <c15:datalabelsRange>
                <c15:f>'FY22 PLAN'!$BC$12:$BF$12</c15:f>
                <c15:dlblRangeCache>
                  <c:ptCount val="4"/>
                  <c:pt idx="1">
                    <c:v>45</c:v>
                  </c:pt>
                  <c:pt idx="3">
                    <c:v>160</c:v>
                  </c:pt>
                </c15:dlblRangeCache>
              </c15:datalabelsRange>
            </c:ext>
            <c:ext xmlns:c16="http://schemas.microsoft.com/office/drawing/2014/chart" uri="{C3380CC4-5D6E-409C-BE32-E72D297353CC}">
              <c16:uniqueId val="{00000003-5F85-4C47-958F-79BE25E30F1D}"/>
            </c:ext>
          </c:extLst>
        </c:ser>
        <c:ser>
          <c:idx val="2"/>
          <c:order val="2"/>
          <c:spPr>
            <a:solidFill>
              <a:schemeClr val="accent3"/>
            </a:solidFill>
            <a:ln>
              <a:noFill/>
            </a:ln>
            <a:effectLst/>
          </c:spPr>
          <c:invertIfNegative val="0"/>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5F85-4C47-958F-79BE25E30F1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F85-4C47-958F-79BE25E30F1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5F85-4C47-958F-79BE25E30F1D}"/>
                </c:ext>
              </c:extLst>
            </c:dLbl>
            <c:dLbl>
              <c:idx val="3"/>
              <c:tx>
                <c:rich>
                  <a:bodyPr/>
                  <a:lstStyle/>
                  <a:p>
                    <a:fld id="{527C42F5-ABFA-4C87-BD25-8C3912D7BBD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F85-4C47-958F-79BE25E30F1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'FY22 PLAN'!$AX$7:$BA$7</c:f>
              <c:strCache>
                <c:ptCount val="4"/>
                <c:pt idx="0">
                  <c:v>FY17</c:v>
                </c:pt>
                <c:pt idx="1">
                  <c:v>FY18</c:v>
                </c:pt>
                <c:pt idx="2">
                  <c:v>FY19</c:v>
                </c:pt>
                <c:pt idx="3">
                  <c:v>FY22</c:v>
                </c:pt>
              </c:strCache>
            </c:strRef>
          </c:cat>
          <c:val>
            <c:numRef>
              <c:f>'FY22 PLAN'!$AX$13:$BA$13</c:f>
              <c:numCache>
                <c:formatCode>#,##0;\(#,##0\)</c:formatCode>
                <c:ptCount val="4"/>
                <c:pt idx="3">
                  <c:v>24.840481305791457</c:v>
                </c:pt>
              </c:numCache>
            </c:numRef>
          </c:val>
          <c:extLst>
            <c:ext xmlns:c15="http://schemas.microsoft.com/office/drawing/2012/chart" uri="{02D57815-91ED-43cb-92C2-25804820EDAC}">
              <c15:datalabelsRange>
                <c15:f>'FY22 PLAN'!$BC$13:$BF$13</c15:f>
                <c15:dlblRangeCache>
                  <c:ptCount val="4"/>
                  <c:pt idx="3">
                    <c:v>185</c:v>
                  </c:pt>
                </c15:dlblRangeCache>
              </c15:datalabelsRange>
            </c:ext>
            <c:ext xmlns:c16="http://schemas.microsoft.com/office/drawing/2014/chart" uri="{C3380CC4-5D6E-409C-BE32-E72D297353CC}">
              <c16:uniqueId val="{00000004-5F85-4C47-958F-79BE25E30F1D}"/>
            </c:ext>
          </c:extLst>
        </c:ser>
        <c:dLbls>
          <c:showLegendKey val="0"/>
          <c:showVal val="0"/>
          <c:showCatName val="0"/>
          <c:showSerName val="0"/>
          <c:showPercent val="0"/>
          <c:showBubbleSize val="0"/>
        </c:dLbls>
        <c:gapWidth val="25"/>
        <c:overlap val="100"/>
        <c:axId val="866732720"/>
        <c:axId val="866734688"/>
      </c:barChart>
      <c:catAx>
        <c:axId val="866732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66734688"/>
        <c:crosses val="autoZero"/>
        <c:auto val="1"/>
        <c:lblAlgn val="ctr"/>
        <c:lblOffset val="100"/>
        <c:noMultiLvlLbl val="0"/>
      </c:catAx>
      <c:valAx>
        <c:axId val="866734688"/>
        <c:scaling>
          <c:orientation val="minMax"/>
        </c:scaling>
        <c:delete val="1"/>
        <c:axPos val="t"/>
        <c:numFmt formatCode="#,##0;\(#,##0\)" sourceLinked="1"/>
        <c:majorTickMark val="out"/>
        <c:minorTickMark val="none"/>
        <c:tickLblPos val="nextTo"/>
        <c:crossAx val="866732720"/>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'FY22 PLAN'!$AV$14</c:f>
          <c:strCache>
            <c:ptCount val="1"/>
            <c:pt idx="0">
              <c:v>UK &amp; Ireland</c:v>
            </c:pt>
          </c:strCache>
        </c:strRef>
      </c:tx>
      <c:overlay val="0"/>
      <c:spPr>
        <a:solidFill>
          <a:srgbClr val="747678"/>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6-A747-40CC-89C1-0628D997C486}"/>
              </c:ext>
            </c:extLst>
          </c:dPt>
          <c:dPt>
            <c:idx val="1"/>
            <c:invertIfNegative val="0"/>
            <c:bubble3D val="0"/>
            <c:extLst>
              <c:ext xmlns:c16="http://schemas.microsoft.com/office/drawing/2014/chart" uri="{C3380CC4-5D6E-409C-BE32-E72D297353CC}">
                <c16:uniqueId val="{0000000B-5F85-4C47-958F-79BE25E30F1D}"/>
              </c:ext>
            </c:extLst>
          </c:dPt>
          <c:dPt>
            <c:idx val="2"/>
            <c:invertIfNegative val="0"/>
            <c:bubble3D val="0"/>
            <c:extLst>
              <c:ext xmlns:c16="http://schemas.microsoft.com/office/drawing/2014/chart" uri="{C3380CC4-5D6E-409C-BE32-E72D297353CC}">
                <c16:uniqueId val="{0000000C-5F85-4C47-958F-79BE25E30F1D}"/>
              </c:ext>
            </c:extLst>
          </c:dPt>
          <c:dPt>
            <c:idx val="3"/>
            <c:invertIfNegative val="0"/>
            <c:bubble3D val="0"/>
            <c:spPr>
              <a:solidFill>
                <a:schemeClr val="tx2"/>
              </a:solidFill>
              <a:ln>
                <a:noFill/>
              </a:ln>
              <a:effectLst/>
            </c:spPr>
            <c:extLst>
              <c:ext xmlns:c16="http://schemas.microsoft.com/office/drawing/2014/chart" uri="{C3380CC4-5D6E-409C-BE32-E72D297353CC}">
                <c16:uniqueId val="{00000006-D676-4C61-AB0D-275D7AAC570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'FY22 PLAN'!$AX$7:$BA$7</c:f>
              <c:strCache>
                <c:ptCount val="4"/>
                <c:pt idx="0">
                  <c:v>FY17</c:v>
                </c:pt>
                <c:pt idx="1">
                  <c:v>FY18</c:v>
                </c:pt>
                <c:pt idx="2">
                  <c:v>FY19</c:v>
                </c:pt>
                <c:pt idx="3">
                  <c:v>FY22</c:v>
                </c:pt>
              </c:strCache>
            </c:strRef>
          </c:cat>
          <c:val>
            <c:numRef>
              <c:f>'FY22 PLAN'!$AX$14:$BA$14</c:f>
              <c:numCache>
                <c:formatCode>#,##0;\(#,##0\)</c:formatCode>
                <c:ptCount val="4"/>
                <c:pt idx="0">
                  <c:v>41.5</c:v>
                </c:pt>
                <c:pt idx="1">
                  <c:v>47</c:v>
                </c:pt>
                <c:pt idx="2">
                  <c:v>48.9</c:v>
                </c:pt>
                <c:pt idx="3">
                  <c:v>39.870066250543502</c:v>
                </c:pt>
              </c:numCache>
            </c:numRef>
          </c:val>
          <c:extLst>
            <c:ext xmlns:c16="http://schemas.microsoft.com/office/drawing/2014/chart" uri="{C3380CC4-5D6E-409C-BE32-E72D297353CC}">
              <c16:uniqueId val="{00000001-5F85-4C47-958F-79BE25E30F1D}"/>
            </c:ext>
          </c:extLst>
        </c:ser>
        <c:ser>
          <c:idx val="1"/>
          <c:order val="1"/>
          <c:spPr>
            <a:solidFill>
              <a:schemeClr val="accent2"/>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8-5F85-4C47-958F-79BE25E30F1D}"/>
              </c:ext>
            </c:extLst>
          </c:dPt>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5F85-4C47-958F-79BE25E30F1D}"/>
                </c:ext>
              </c:extLst>
            </c:dLbl>
            <c:dLbl>
              <c:idx val="1"/>
              <c:tx>
                <c:rich>
                  <a:bodyPr/>
                  <a:lstStyle/>
                  <a:p>
                    <a:fld id="{066382C5-FBC5-4AC5-AD99-E109AF6829A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F85-4C47-958F-79BE25E30F1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5F85-4C47-958F-79BE25E30F1D}"/>
                </c:ext>
              </c:extLst>
            </c:dLbl>
            <c:dLbl>
              <c:idx val="3"/>
              <c:tx>
                <c:rich>
                  <a:bodyPr/>
                  <a:lstStyle/>
                  <a:p>
                    <a:fld id="{57E46FAF-294E-4475-8400-4A8E5B9191EF}"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F85-4C47-958F-79BE25E30F1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'FY22 PLAN'!$AX$7:$BA$7</c:f>
              <c:strCache>
                <c:ptCount val="4"/>
                <c:pt idx="0">
                  <c:v>FY17</c:v>
                </c:pt>
                <c:pt idx="1">
                  <c:v>FY18</c:v>
                </c:pt>
                <c:pt idx="2">
                  <c:v>FY19</c:v>
                </c:pt>
                <c:pt idx="3">
                  <c:v>FY22</c:v>
                </c:pt>
              </c:strCache>
            </c:strRef>
          </c:cat>
          <c:val>
            <c:numRef>
              <c:f>'FY22 PLAN'!$AX$15:$BA$15</c:f>
              <c:numCache>
                <c:formatCode>#,##0;\(#,##0\)</c:formatCode>
                <c:ptCount val="4"/>
                <c:pt idx="3">
                  <c:v>20.231918494502843</c:v>
                </c:pt>
              </c:numCache>
            </c:numRef>
          </c:val>
          <c:extLst>
            <c:ext xmlns:c15="http://schemas.microsoft.com/office/drawing/2012/chart" uri="{02D57815-91ED-43cb-92C2-25804820EDAC}">
              <c15:datalabelsRange>
                <c15:f>'FY22 PLAN'!$BC$15:$BF$15</c15:f>
                <c15:dlblRangeCache>
                  <c:ptCount val="4"/>
                  <c:pt idx="1">
                    <c:v>24</c:v>
                  </c:pt>
                  <c:pt idx="3">
                    <c:v>60</c:v>
                  </c:pt>
                </c15:dlblRangeCache>
              </c15:datalabelsRange>
            </c:ext>
            <c:ext xmlns:c16="http://schemas.microsoft.com/office/drawing/2014/chart" uri="{C3380CC4-5D6E-409C-BE32-E72D297353CC}">
              <c16:uniqueId val="{00000003-5F85-4C47-958F-79BE25E30F1D}"/>
            </c:ext>
          </c:extLst>
        </c:ser>
        <c:ser>
          <c:idx val="2"/>
          <c:order val="2"/>
          <c:spPr>
            <a:solidFill>
              <a:schemeClr val="accent3"/>
            </a:solidFill>
            <a:ln>
              <a:noFill/>
            </a:ln>
            <a:effectLst/>
          </c:spPr>
          <c:invertIfNegative val="0"/>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5F85-4C47-958F-79BE25E30F1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F85-4C47-958F-79BE25E30F1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5F85-4C47-958F-79BE25E30F1D}"/>
                </c:ext>
              </c:extLst>
            </c:dLbl>
            <c:dLbl>
              <c:idx val="3"/>
              <c:tx>
                <c:rich>
                  <a:bodyPr/>
                  <a:lstStyle/>
                  <a:p>
                    <a:fld id="{72B055C5-9C86-4443-ACEF-66B3F64BA6D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F85-4C47-958F-79BE25E30F1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'FY22 PLAN'!$AX$7:$BA$7</c:f>
              <c:strCache>
                <c:ptCount val="4"/>
                <c:pt idx="0">
                  <c:v>FY17</c:v>
                </c:pt>
                <c:pt idx="1">
                  <c:v>FY18</c:v>
                </c:pt>
                <c:pt idx="2">
                  <c:v>FY19</c:v>
                </c:pt>
                <c:pt idx="3">
                  <c:v>FY22</c:v>
                </c:pt>
              </c:strCache>
            </c:strRef>
          </c:cat>
          <c:val>
            <c:numRef>
              <c:f>'FY22 PLAN'!$AX$16:$BA$16</c:f>
              <c:numCache>
                <c:formatCode>#,##0;\(#,##0\)</c:formatCode>
                <c:ptCount val="4"/>
                <c:pt idx="3">
                  <c:v>19.783988026125535</c:v>
                </c:pt>
              </c:numCache>
            </c:numRef>
          </c:val>
          <c:extLst>
            <c:ext xmlns:c15="http://schemas.microsoft.com/office/drawing/2012/chart" uri="{02D57815-91ED-43cb-92C2-25804820EDAC}">
              <c15:datalabelsRange>
                <c15:f>'FY22 PLAN'!$BC$16:$BF$16</c15:f>
                <c15:dlblRangeCache>
                  <c:ptCount val="4"/>
                  <c:pt idx="3">
                    <c:v>80</c:v>
                  </c:pt>
                </c15:dlblRangeCache>
              </c15:datalabelsRange>
            </c:ext>
            <c:ext xmlns:c16="http://schemas.microsoft.com/office/drawing/2014/chart" uri="{C3380CC4-5D6E-409C-BE32-E72D297353CC}">
              <c16:uniqueId val="{00000004-5F85-4C47-958F-79BE25E30F1D}"/>
            </c:ext>
          </c:extLst>
        </c:ser>
        <c:dLbls>
          <c:showLegendKey val="0"/>
          <c:showVal val="0"/>
          <c:showCatName val="0"/>
          <c:showSerName val="0"/>
          <c:showPercent val="0"/>
          <c:showBubbleSize val="0"/>
        </c:dLbls>
        <c:gapWidth val="25"/>
        <c:overlap val="100"/>
        <c:axId val="866732720"/>
        <c:axId val="866734688"/>
      </c:barChart>
      <c:catAx>
        <c:axId val="866732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66734688"/>
        <c:crosses val="autoZero"/>
        <c:auto val="1"/>
        <c:lblAlgn val="ctr"/>
        <c:lblOffset val="100"/>
        <c:noMultiLvlLbl val="0"/>
      </c:catAx>
      <c:valAx>
        <c:axId val="866734688"/>
        <c:scaling>
          <c:orientation val="minMax"/>
        </c:scaling>
        <c:delete val="1"/>
        <c:axPos val="t"/>
        <c:numFmt formatCode="#,##0;\(#,##0\)" sourceLinked="1"/>
        <c:majorTickMark val="out"/>
        <c:minorTickMark val="none"/>
        <c:tickLblPos val="nextTo"/>
        <c:crossAx val="866732720"/>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'FY22 PLAN'!$AV$17</c:f>
          <c:strCache>
            <c:ptCount val="1"/>
            <c:pt idx="0">
              <c:v>Rest of World</c:v>
            </c:pt>
          </c:strCache>
        </c:strRef>
      </c:tx>
      <c:overlay val="0"/>
      <c:spPr>
        <a:solidFill>
          <a:schemeClr val="accent1"/>
        </a:solidFill>
        <a:ln>
          <a:noFill/>
        </a:ln>
        <a:effectLst/>
      </c:spPr>
      <c:txPr>
        <a:bodyPr rot="0" spcFirstLastPara="1" vertOverflow="ellipsis" vert="horz" wrap="square" anchor="ctr" anchorCtr="1"/>
        <a:lstStyle/>
        <a:p>
          <a:pPr>
            <a:defRPr sz="1400" b="1" i="0" u="none" strike="noStrike" kern="1200" spc="0" baseline="0">
              <a:solidFill>
                <a:schemeClr val="bg1"/>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6-2A88-4930-A245-F0B25C9D2A4E}"/>
              </c:ext>
            </c:extLst>
          </c:dPt>
          <c:dPt>
            <c:idx val="1"/>
            <c:invertIfNegative val="0"/>
            <c:bubble3D val="0"/>
            <c:extLst>
              <c:ext xmlns:c16="http://schemas.microsoft.com/office/drawing/2014/chart" uri="{C3380CC4-5D6E-409C-BE32-E72D297353CC}">
                <c16:uniqueId val="{0000000B-5F85-4C47-958F-79BE25E30F1D}"/>
              </c:ext>
            </c:extLst>
          </c:dPt>
          <c:dPt>
            <c:idx val="2"/>
            <c:invertIfNegative val="0"/>
            <c:bubble3D val="0"/>
            <c:extLst>
              <c:ext xmlns:c16="http://schemas.microsoft.com/office/drawing/2014/chart" uri="{C3380CC4-5D6E-409C-BE32-E72D297353CC}">
                <c16:uniqueId val="{0000000C-5F85-4C47-958F-79BE25E30F1D}"/>
              </c:ext>
            </c:extLst>
          </c:dPt>
          <c:dPt>
            <c:idx val="3"/>
            <c:invertIfNegative val="0"/>
            <c:bubble3D val="0"/>
            <c:spPr>
              <a:solidFill>
                <a:schemeClr val="tx2"/>
              </a:solidFill>
              <a:ln>
                <a:noFill/>
              </a:ln>
              <a:effectLst/>
            </c:spPr>
            <c:extLst>
              <c:ext xmlns:c16="http://schemas.microsoft.com/office/drawing/2014/chart" uri="{C3380CC4-5D6E-409C-BE32-E72D297353CC}">
                <c16:uniqueId val="{00000006-E7CC-4622-8448-BDC282856504}"/>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'FY22 PLAN'!$AX$7:$BA$7</c:f>
              <c:strCache>
                <c:ptCount val="4"/>
                <c:pt idx="0">
                  <c:v>FY17</c:v>
                </c:pt>
                <c:pt idx="1">
                  <c:v>FY18</c:v>
                </c:pt>
                <c:pt idx="2">
                  <c:v>FY19</c:v>
                </c:pt>
                <c:pt idx="3">
                  <c:v>FY22</c:v>
                </c:pt>
              </c:strCache>
            </c:strRef>
          </c:cat>
          <c:val>
            <c:numRef>
              <c:f>'FY22 PLAN'!$AX$17:$BA$17</c:f>
              <c:numCache>
                <c:formatCode>#,##0;\(#,##0\)</c:formatCode>
                <c:ptCount val="4"/>
                <c:pt idx="0">
                  <c:v>26.7</c:v>
                </c:pt>
                <c:pt idx="1">
                  <c:v>41.3</c:v>
                </c:pt>
                <c:pt idx="2">
                  <c:v>42.2</c:v>
                </c:pt>
                <c:pt idx="3">
                  <c:v>65.161214380893625</c:v>
                </c:pt>
              </c:numCache>
            </c:numRef>
          </c:val>
          <c:extLst>
            <c:ext xmlns:c16="http://schemas.microsoft.com/office/drawing/2014/chart" uri="{C3380CC4-5D6E-409C-BE32-E72D297353CC}">
              <c16:uniqueId val="{00000001-5F85-4C47-958F-79BE25E30F1D}"/>
            </c:ext>
          </c:extLst>
        </c:ser>
        <c:ser>
          <c:idx val="1"/>
          <c:order val="1"/>
          <c:spPr>
            <a:solidFill>
              <a:schemeClr val="accent5"/>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8-5F85-4C47-958F-79BE25E30F1D}"/>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F-5F85-4C47-958F-79BE25E30F1D}"/>
              </c:ext>
            </c:extLst>
          </c:dPt>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5F85-4C47-958F-79BE25E30F1D}"/>
                </c:ext>
              </c:extLst>
            </c:dLbl>
            <c:dLbl>
              <c:idx val="1"/>
              <c:tx>
                <c:rich>
                  <a:bodyPr/>
                  <a:lstStyle/>
                  <a:p>
                    <a:fld id="{FDC3C37B-B0C8-4D95-A264-9F8179B4DA5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F85-4C47-958F-79BE25E30F1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5F85-4C47-958F-79BE25E30F1D}"/>
                </c:ext>
              </c:extLst>
            </c:dLbl>
            <c:dLbl>
              <c:idx val="3"/>
              <c:tx>
                <c:rich>
                  <a:bodyPr/>
                  <a:lstStyle/>
                  <a:p>
                    <a:fld id="{E9825EE3-825F-4279-ABAB-58B802BBC168}"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F85-4C47-958F-79BE25E30F1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'FY22 PLAN'!$AX$7:$BA$7</c:f>
              <c:strCache>
                <c:ptCount val="4"/>
                <c:pt idx="0">
                  <c:v>FY17</c:v>
                </c:pt>
                <c:pt idx="1">
                  <c:v>FY18</c:v>
                </c:pt>
                <c:pt idx="2">
                  <c:v>FY19</c:v>
                </c:pt>
                <c:pt idx="3">
                  <c:v>FY22</c:v>
                </c:pt>
              </c:strCache>
            </c:strRef>
          </c:cat>
          <c:val>
            <c:numRef>
              <c:f>'FY22 PLAN'!$AX$18:$BA$18</c:f>
              <c:numCache>
                <c:formatCode>#,##0;\(#,##0\)</c:formatCode>
                <c:ptCount val="4"/>
                <c:pt idx="3">
                  <c:v>14.611908088953882</c:v>
                </c:pt>
              </c:numCache>
            </c:numRef>
          </c:val>
          <c:extLst>
            <c:ext xmlns:c15="http://schemas.microsoft.com/office/drawing/2012/chart" uri="{02D57815-91ED-43cb-92C2-25804820EDAC}">
              <c15:datalabelsRange>
                <c15:f>'FY22 PLAN'!$BC$18:$BF$18</c15:f>
                <c15:dlblRangeCache>
                  <c:ptCount val="4"/>
                  <c:pt idx="1">
                    <c:v>23</c:v>
                  </c:pt>
                  <c:pt idx="3">
                    <c:v>80</c:v>
                  </c:pt>
                </c15:dlblRangeCache>
              </c15:datalabelsRange>
            </c:ext>
            <c:ext xmlns:c16="http://schemas.microsoft.com/office/drawing/2014/chart" uri="{C3380CC4-5D6E-409C-BE32-E72D297353CC}">
              <c16:uniqueId val="{00000003-5F85-4C47-958F-79BE25E30F1D}"/>
            </c:ext>
          </c:extLst>
        </c:ser>
        <c:ser>
          <c:idx val="2"/>
          <c:order val="2"/>
          <c:spPr>
            <a:solidFill>
              <a:schemeClr val="accent3"/>
            </a:solidFill>
            <a:ln>
              <a:noFill/>
            </a:ln>
            <a:effectLst/>
          </c:spPr>
          <c:invertIfNegative val="0"/>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5F85-4C47-958F-79BE25E30F1D}"/>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F85-4C47-958F-79BE25E30F1D}"/>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5F85-4C47-958F-79BE25E30F1D}"/>
                </c:ext>
              </c:extLst>
            </c:dLbl>
            <c:dLbl>
              <c:idx val="3"/>
              <c:tx>
                <c:rich>
                  <a:bodyPr/>
                  <a:lstStyle/>
                  <a:p>
                    <a:fld id="{CE09EE22-C99E-4D1F-B6E9-91069803243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F85-4C47-958F-79BE25E30F1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'FY22 PLAN'!$AX$7:$BA$7</c:f>
              <c:strCache>
                <c:ptCount val="4"/>
                <c:pt idx="0">
                  <c:v>FY17</c:v>
                </c:pt>
                <c:pt idx="1">
                  <c:v>FY18</c:v>
                </c:pt>
                <c:pt idx="2">
                  <c:v>FY19</c:v>
                </c:pt>
                <c:pt idx="3">
                  <c:v>FY22</c:v>
                </c:pt>
              </c:strCache>
            </c:strRef>
          </c:cat>
          <c:val>
            <c:numRef>
              <c:f>'FY22 PLAN'!$AX$19:$BA$19</c:f>
              <c:numCache>
                <c:formatCode>#,##0;\(#,##0\)</c:formatCode>
                <c:ptCount val="4"/>
                <c:pt idx="3">
                  <c:v>15.257080233541103</c:v>
                </c:pt>
              </c:numCache>
            </c:numRef>
          </c:val>
          <c:extLst>
            <c:ext xmlns:c15="http://schemas.microsoft.com/office/drawing/2012/chart" uri="{02D57815-91ED-43cb-92C2-25804820EDAC}">
              <c15:datalabelsRange>
                <c15:f>'FY22 PLAN'!$BC$19:$BF$19</c15:f>
                <c15:dlblRangeCache>
                  <c:ptCount val="4"/>
                  <c:pt idx="3">
                    <c:v>95</c:v>
                  </c:pt>
                </c15:dlblRangeCache>
              </c15:datalabelsRange>
            </c:ext>
            <c:ext xmlns:c16="http://schemas.microsoft.com/office/drawing/2014/chart" uri="{C3380CC4-5D6E-409C-BE32-E72D297353CC}">
              <c16:uniqueId val="{00000004-5F85-4C47-958F-79BE25E30F1D}"/>
            </c:ext>
          </c:extLst>
        </c:ser>
        <c:dLbls>
          <c:showLegendKey val="0"/>
          <c:showVal val="0"/>
          <c:showCatName val="0"/>
          <c:showSerName val="0"/>
          <c:showPercent val="0"/>
          <c:showBubbleSize val="0"/>
        </c:dLbls>
        <c:gapWidth val="25"/>
        <c:overlap val="100"/>
        <c:axId val="866732720"/>
        <c:axId val="866734688"/>
      </c:barChart>
      <c:catAx>
        <c:axId val="866732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66734688"/>
        <c:crosses val="autoZero"/>
        <c:auto val="1"/>
        <c:lblAlgn val="ctr"/>
        <c:lblOffset val="100"/>
        <c:noMultiLvlLbl val="0"/>
      </c:catAx>
      <c:valAx>
        <c:axId val="866734688"/>
        <c:scaling>
          <c:orientation val="minMax"/>
        </c:scaling>
        <c:delete val="1"/>
        <c:axPos val="t"/>
        <c:numFmt formatCode="#,##0;\(#,##0\)" sourceLinked="1"/>
        <c:majorTickMark val="out"/>
        <c:minorTickMark val="none"/>
        <c:tickLblPos val="nextTo"/>
        <c:crossAx val="866732720"/>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398512685914264E-2"/>
          <c:y val="3.8837920489296636E-2"/>
          <c:w val="0.90204593175853021"/>
          <c:h val="0.92232415902140674"/>
        </c:manualLayout>
      </c:layout>
      <c:barChart>
        <c:barDir val="bar"/>
        <c:grouping val="stacked"/>
        <c:varyColors val="0"/>
        <c:ser>
          <c:idx val="0"/>
          <c:order val="0"/>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3-6759-4392-A94C-A671F6FEFF18}"/>
              </c:ext>
            </c:extLst>
          </c:dPt>
          <c:dPt>
            <c:idx val="1"/>
            <c:invertIfNegative val="0"/>
            <c:bubble3D val="0"/>
            <c:spPr>
              <a:solidFill>
                <a:schemeClr val="tx2"/>
              </a:solidFill>
              <a:ln>
                <a:noFill/>
              </a:ln>
              <a:effectLst/>
            </c:spPr>
            <c:extLst>
              <c:ext xmlns:c16="http://schemas.microsoft.com/office/drawing/2014/chart" uri="{C3380CC4-5D6E-409C-BE32-E72D297353CC}">
                <c16:uniqueId val="{0000000E-6759-4392-A94C-A671F6FEFF18}"/>
              </c:ext>
            </c:extLst>
          </c:dPt>
          <c:dPt>
            <c:idx val="2"/>
            <c:invertIfNegative val="0"/>
            <c:bubble3D val="0"/>
            <c:spPr>
              <a:solidFill>
                <a:srgbClr val="747678"/>
              </a:solidFill>
              <a:ln>
                <a:noFill/>
              </a:ln>
              <a:effectLst/>
            </c:spPr>
            <c:extLst>
              <c:ext xmlns:c16="http://schemas.microsoft.com/office/drawing/2014/chart" uri="{C3380CC4-5D6E-409C-BE32-E72D297353CC}">
                <c16:uniqueId val="{00000007-6759-4392-A94C-A671F6FEFF18}"/>
              </c:ext>
            </c:extLst>
          </c:dPt>
          <c:dPt>
            <c:idx val="3"/>
            <c:invertIfNegative val="0"/>
            <c:bubble3D val="0"/>
            <c:extLst>
              <c:ext xmlns:c16="http://schemas.microsoft.com/office/drawing/2014/chart" uri="{C3380CC4-5D6E-409C-BE32-E72D297353CC}">
                <c16:uniqueId val="{00000006-6759-4392-A94C-A671F6FEFF18}"/>
              </c:ext>
            </c:extLst>
          </c:dPt>
          <c:dPt>
            <c:idx val="5"/>
            <c:invertIfNegative val="0"/>
            <c:bubble3D val="0"/>
            <c:spPr>
              <a:solidFill>
                <a:schemeClr val="accent3"/>
              </a:solidFill>
              <a:ln>
                <a:noFill/>
              </a:ln>
              <a:effectLst/>
            </c:spPr>
            <c:extLst>
              <c:ext xmlns:c16="http://schemas.microsoft.com/office/drawing/2014/chart" uri="{C3380CC4-5D6E-409C-BE32-E72D297353CC}">
                <c16:uniqueId val="{0000000D-6759-4392-A94C-A671F6FEFF18}"/>
              </c:ext>
            </c:extLst>
          </c:dPt>
          <c:dPt>
            <c:idx val="6"/>
            <c:invertIfNegative val="0"/>
            <c:bubble3D val="0"/>
            <c:spPr>
              <a:solidFill>
                <a:schemeClr val="tx2"/>
              </a:solidFill>
              <a:ln>
                <a:noFill/>
              </a:ln>
              <a:effectLst/>
            </c:spPr>
            <c:extLst>
              <c:ext xmlns:c16="http://schemas.microsoft.com/office/drawing/2014/chart" uri="{C3380CC4-5D6E-409C-BE32-E72D297353CC}">
                <c16:uniqueId val="{00000010-6759-4392-A94C-A671F6FEFF18}"/>
              </c:ext>
            </c:extLst>
          </c:dPt>
          <c:dPt>
            <c:idx val="7"/>
            <c:invertIfNegative val="0"/>
            <c:bubble3D val="0"/>
            <c:spPr>
              <a:solidFill>
                <a:srgbClr val="747678"/>
              </a:solidFill>
              <a:ln>
                <a:noFill/>
              </a:ln>
              <a:effectLst/>
            </c:spPr>
            <c:extLst>
              <c:ext xmlns:c16="http://schemas.microsoft.com/office/drawing/2014/chart" uri="{C3380CC4-5D6E-409C-BE32-E72D297353CC}">
                <c16:uniqueId val="{0000000C-6759-4392-A94C-A671F6FEFF18}"/>
              </c:ext>
            </c:extLst>
          </c:dPt>
          <c:dPt>
            <c:idx val="8"/>
            <c:invertIfNegative val="0"/>
            <c:bubble3D val="0"/>
            <c:extLst>
              <c:ext xmlns:c16="http://schemas.microsoft.com/office/drawing/2014/chart" uri="{C3380CC4-5D6E-409C-BE32-E72D297353CC}">
                <c16:uniqueId val="{0000000B-6759-4392-A94C-A671F6FEFF18}"/>
              </c:ext>
            </c:extLst>
          </c:dPt>
          <c:dLbls>
            <c:dLbl>
              <c:idx val="0"/>
              <c:tx>
                <c:rich>
                  <a:bodyPr/>
                  <a:lstStyle/>
                  <a:p>
                    <a:fld id="{1072B4D9-34AC-40EE-997B-0F9B505CEA15}"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759-4392-A94C-A671F6FEFF18}"/>
                </c:ext>
              </c:extLst>
            </c:dLbl>
            <c:dLbl>
              <c:idx val="1"/>
              <c:tx>
                <c:rich>
                  <a:bodyPr/>
                  <a:lstStyle/>
                  <a:p>
                    <a:fld id="{4C84568B-BD3D-469B-9848-4580F18112E8}"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759-4392-A94C-A671F6FEFF18}"/>
                </c:ext>
              </c:extLst>
            </c:dLbl>
            <c:dLbl>
              <c:idx val="2"/>
              <c:tx>
                <c:rich>
                  <a:bodyPr/>
                  <a:lstStyle/>
                  <a:p>
                    <a:fld id="{2B8F96DA-ABA4-4605-811B-3AF98D52F763}"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759-4392-A94C-A671F6FEFF18}"/>
                </c:ext>
              </c:extLst>
            </c:dLbl>
            <c:dLbl>
              <c:idx val="3"/>
              <c:tx>
                <c:rich>
                  <a:bodyPr/>
                  <a:lstStyle/>
                  <a:p>
                    <a:fld id="{7782A924-0957-4658-BA95-FEE7D633655E}"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759-4392-A94C-A671F6FEFF18}"/>
                </c:ext>
              </c:extLst>
            </c:dLbl>
            <c:dLbl>
              <c:idx val="4"/>
              <c:tx>
                <c:rich>
                  <a:bodyPr/>
                  <a:lstStyle/>
                  <a:p>
                    <a:endParaRPr lang="en-US"/>
                  </a:p>
                </c:rich>
              </c:tx>
              <c:dLblPos val="inBase"/>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6759-4392-A94C-A671F6FEFF18}"/>
                </c:ext>
              </c:extLst>
            </c:dLbl>
            <c:dLbl>
              <c:idx val="5"/>
              <c:tx>
                <c:rich>
                  <a:bodyPr/>
                  <a:lstStyle/>
                  <a:p>
                    <a:fld id="{2126DD94-0F3E-47CD-B31E-0DFB852613F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759-4392-A94C-A671F6FEFF18}"/>
                </c:ext>
              </c:extLst>
            </c:dLbl>
            <c:dLbl>
              <c:idx val="6"/>
              <c:tx>
                <c:rich>
                  <a:bodyPr/>
                  <a:lstStyle/>
                  <a:p>
                    <a:fld id="{1C2B5671-58A0-4939-A6FF-7FC498CC346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759-4392-A94C-A671F6FEFF18}"/>
                </c:ext>
              </c:extLst>
            </c:dLbl>
            <c:dLbl>
              <c:idx val="7"/>
              <c:tx>
                <c:rich>
                  <a:bodyPr/>
                  <a:lstStyle/>
                  <a:p>
                    <a:fld id="{F15D3FC3-EC6F-411E-9E7C-008CB74E8A99}"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759-4392-A94C-A671F6FEFF18}"/>
                </c:ext>
              </c:extLst>
            </c:dLbl>
            <c:dLbl>
              <c:idx val="8"/>
              <c:tx>
                <c:rich>
                  <a:bodyPr/>
                  <a:lstStyle/>
                  <a:p>
                    <a:fld id="{C7D14020-838B-4CD4-AB1B-F4825ABB5DD3}"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759-4392-A94C-A671F6FEFF18}"/>
                </c:ext>
              </c:extLst>
            </c:dLbl>
            <c:spPr>
              <a:noFill/>
              <a:ln>
                <a:noFill/>
              </a:ln>
              <a:effectLst/>
            </c:spPr>
            <c:txPr>
              <a:bodyPr rot="0" spcFirstLastPara="1" vertOverflow="ellipsis" vert="horz" wrap="square" lIns="0" tIns="19050" rIns="38100" bIns="19050" anchor="ctr" anchorCtr="0">
                <a:spAutoFit/>
              </a:bodyPr>
              <a:lstStyle/>
              <a:p>
                <a:pPr algn="l">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15:leaderLines>
                  <c:spPr>
                    <a:ln w="9525" cap="flat" cmpd="sng" algn="ctr">
                      <a:solidFill>
                        <a:schemeClr val="tx1">
                          <a:lumMod val="35000"/>
                          <a:lumOff val="65000"/>
                        </a:schemeClr>
                      </a:solidFill>
                      <a:round/>
                    </a:ln>
                    <a:effectLst/>
                  </c:spPr>
                </c15:leaderLines>
              </c:ext>
            </c:extLst>
          </c:dLbls>
          <c:cat>
            <c:strRef>
              <c:f>'FY22 PLAN'!$AX$41:$AX$49</c:f>
              <c:strCache>
                <c:ptCount val="8"/>
                <c:pt idx="1">
                  <c:v>17</c:v>
                </c:pt>
                <c:pt idx="2">
                  <c:v>FY</c:v>
                </c:pt>
                <c:pt idx="6">
                  <c:v>22</c:v>
                </c:pt>
                <c:pt idx="7">
                  <c:v>FY</c:v>
                </c:pt>
              </c:strCache>
            </c:strRef>
          </c:cat>
          <c:val>
            <c:numRef>
              <c:f>'FY22 PLAN'!$AU$41:$AU$49</c:f>
              <c:numCache>
                <c:formatCode>General</c:formatCode>
                <c:ptCount val="9"/>
                <c:pt idx="0">
                  <c:v>17.2</c:v>
                </c:pt>
                <c:pt idx="1">
                  <c:v>40</c:v>
                </c:pt>
                <c:pt idx="2">
                  <c:v>17.2</c:v>
                </c:pt>
                <c:pt idx="3">
                  <c:v>17.2</c:v>
                </c:pt>
                <c:pt idx="5">
                  <c:v>17.2</c:v>
                </c:pt>
                <c:pt idx="6">
                  <c:v>40</c:v>
                </c:pt>
                <c:pt idx="7">
                  <c:v>17.2</c:v>
                </c:pt>
                <c:pt idx="8">
                  <c:v>17.2</c:v>
                </c:pt>
              </c:numCache>
            </c:numRef>
          </c:val>
          <c:extLst>
            <c:ext xmlns:c15="http://schemas.microsoft.com/office/drawing/2012/chart" uri="{02D57815-91ED-43cb-92C2-25804820EDAC}">
              <c15:datalabelsRange>
                <c15:f>'FY22 PLAN'!$AT$41:$AT$49</c15:f>
                <c15:dlblRangeCache>
                  <c:ptCount val="9"/>
                  <c:pt idx="0">
                    <c:v>ANZ</c:v>
                  </c:pt>
                  <c:pt idx="1">
                    <c:v>Germany</c:v>
                  </c:pt>
                  <c:pt idx="2">
                    <c:v>UK&amp;I</c:v>
                  </c:pt>
                  <c:pt idx="3">
                    <c:v>RoW</c:v>
                  </c:pt>
                  <c:pt idx="5">
                    <c:v>ANZ</c:v>
                  </c:pt>
                  <c:pt idx="6">
                    <c:v>Germany</c:v>
                  </c:pt>
                  <c:pt idx="7">
                    <c:v>UK&amp;I</c:v>
                  </c:pt>
                  <c:pt idx="8">
                    <c:v>RoW</c:v>
                  </c:pt>
                </c15:dlblRangeCache>
              </c15:datalabelsRange>
            </c:ext>
            <c:ext xmlns:c16="http://schemas.microsoft.com/office/drawing/2014/chart" uri="{C3380CC4-5D6E-409C-BE32-E72D297353CC}">
              <c16:uniqueId val="{00000000-6759-4392-A94C-A671F6FEFF18}"/>
            </c:ext>
          </c:extLst>
        </c:ser>
        <c:ser>
          <c:idx val="1"/>
          <c:order val="1"/>
          <c:spPr>
            <a:solidFill>
              <a:schemeClr val="accent2"/>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2-6759-4392-A94C-A671F6FEFF18}"/>
              </c:ext>
            </c:extLst>
          </c:dPt>
          <c:dPt>
            <c:idx val="1"/>
            <c:invertIfNegative val="0"/>
            <c:bubble3D val="0"/>
            <c:spPr>
              <a:solidFill>
                <a:schemeClr val="tx2"/>
              </a:solidFill>
              <a:ln>
                <a:noFill/>
              </a:ln>
              <a:effectLst/>
            </c:spPr>
            <c:extLst>
              <c:ext xmlns:c16="http://schemas.microsoft.com/office/drawing/2014/chart" uri="{C3380CC4-5D6E-409C-BE32-E72D297353CC}">
                <c16:uniqueId val="{00000004-6759-4392-A94C-A671F6FEFF18}"/>
              </c:ext>
            </c:extLst>
          </c:dPt>
          <c:dPt>
            <c:idx val="2"/>
            <c:invertIfNegative val="0"/>
            <c:bubble3D val="0"/>
            <c:spPr>
              <a:solidFill>
                <a:srgbClr val="747678"/>
              </a:solidFill>
              <a:ln>
                <a:noFill/>
              </a:ln>
              <a:effectLst/>
            </c:spPr>
            <c:extLst>
              <c:ext xmlns:c16="http://schemas.microsoft.com/office/drawing/2014/chart" uri="{C3380CC4-5D6E-409C-BE32-E72D297353CC}">
                <c16:uniqueId val="{00000005-6759-4392-A94C-A671F6FEFF18}"/>
              </c:ext>
            </c:extLst>
          </c:dPt>
          <c:dPt>
            <c:idx val="3"/>
            <c:invertIfNegative val="0"/>
            <c:bubble3D val="0"/>
            <c:spPr>
              <a:solidFill>
                <a:schemeClr val="accent1"/>
              </a:solidFill>
              <a:ln>
                <a:noFill/>
              </a:ln>
              <a:effectLst/>
            </c:spPr>
            <c:extLst>
              <c:ext xmlns:c16="http://schemas.microsoft.com/office/drawing/2014/chart" uri="{C3380CC4-5D6E-409C-BE32-E72D297353CC}">
                <c16:uniqueId val="{00000011-6759-4392-A94C-A671F6FEFF18}"/>
              </c:ext>
            </c:extLst>
          </c:dPt>
          <c:dPt>
            <c:idx val="5"/>
            <c:invertIfNegative val="0"/>
            <c:bubble3D val="0"/>
            <c:spPr>
              <a:solidFill>
                <a:schemeClr val="accent3"/>
              </a:solidFill>
              <a:ln>
                <a:noFill/>
              </a:ln>
              <a:effectLst/>
            </c:spPr>
            <c:extLst>
              <c:ext xmlns:c16="http://schemas.microsoft.com/office/drawing/2014/chart" uri="{C3380CC4-5D6E-409C-BE32-E72D297353CC}">
                <c16:uniqueId val="{00000008-6759-4392-A94C-A671F6FEFF18}"/>
              </c:ext>
            </c:extLst>
          </c:dPt>
          <c:dPt>
            <c:idx val="6"/>
            <c:invertIfNegative val="0"/>
            <c:bubble3D val="0"/>
            <c:spPr>
              <a:solidFill>
                <a:schemeClr val="tx2"/>
              </a:solidFill>
              <a:ln>
                <a:noFill/>
              </a:ln>
              <a:effectLst/>
            </c:spPr>
            <c:extLst>
              <c:ext xmlns:c16="http://schemas.microsoft.com/office/drawing/2014/chart" uri="{C3380CC4-5D6E-409C-BE32-E72D297353CC}">
                <c16:uniqueId val="{00000009-6759-4392-A94C-A671F6FEFF18}"/>
              </c:ext>
            </c:extLst>
          </c:dPt>
          <c:dPt>
            <c:idx val="7"/>
            <c:invertIfNegative val="0"/>
            <c:bubble3D val="0"/>
            <c:spPr>
              <a:solidFill>
                <a:srgbClr val="747678"/>
              </a:solidFill>
              <a:ln>
                <a:noFill/>
              </a:ln>
              <a:effectLst/>
            </c:spPr>
            <c:extLst>
              <c:ext xmlns:c16="http://schemas.microsoft.com/office/drawing/2014/chart" uri="{C3380CC4-5D6E-409C-BE32-E72D297353CC}">
                <c16:uniqueId val="{0000000A-6759-4392-A94C-A671F6FEFF18}"/>
              </c:ext>
            </c:extLst>
          </c:dPt>
          <c:dPt>
            <c:idx val="8"/>
            <c:invertIfNegative val="0"/>
            <c:bubble3D val="0"/>
            <c:spPr>
              <a:solidFill>
                <a:schemeClr val="accent1"/>
              </a:solidFill>
              <a:ln>
                <a:noFill/>
              </a:ln>
              <a:effectLst/>
            </c:spPr>
            <c:extLst>
              <c:ext xmlns:c16="http://schemas.microsoft.com/office/drawing/2014/chart" uri="{C3380CC4-5D6E-409C-BE32-E72D297353CC}">
                <c16:uniqueId val="{00000013-6759-4392-A94C-A671F6FEFF18}"/>
              </c:ext>
            </c:extLst>
          </c:dPt>
          <c:dLbls>
            <c:dLbl>
              <c:idx val="0"/>
              <c:tx>
                <c:rich>
                  <a:bodyPr/>
                  <a:lstStyle/>
                  <a:p>
                    <a:fld id="{6CE4699E-2067-4B12-A168-0C2AA21EDFCA}" type="CELLRANGE">
                      <a:rPr lang="en-US"/>
                      <a:pPr/>
                      <a:t>[CELLRANGE]</a:t>
                    </a:fld>
                    <a:endParaRPr lang="en-GB"/>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759-4392-A94C-A671F6FEFF18}"/>
                </c:ext>
              </c:extLst>
            </c:dLbl>
            <c:dLbl>
              <c:idx val="1"/>
              <c:tx>
                <c:rich>
                  <a:bodyPr/>
                  <a:lstStyle/>
                  <a:p>
                    <a:fld id="{309B2945-8AE7-43A5-9D5B-85A469A1759B}" type="CELLRANGE">
                      <a:rPr lang="en-GB"/>
                      <a:pPr/>
                      <a:t>[CELLRANGE]</a:t>
                    </a:fld>
                    <a:endParaRPr lang="en-GB"/>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759-4392-A94C-A671F6FEFF18}"/>
                </c:ext>
              </c:extLst>
            </c:dLbl>
            <c:dLbl>
              <c:idx val="2"/>
              <c:tx>
                <c:rich>
                  <a:bodyPr/>
                  <a:lstStyle/>
                  <a:p>
                    <a:fld id="{CA601945-60F4-4AEE-8018-BB3F4DA16D41}" type="CELLRANGE">
                      <a:rPr lang="en-GB"/>
                      <a:pPr/>
                      <a:t>[CELLRANGE]</a:t>
                    </a:fld>
                    <a:endParaRPr lang="en-GB"/>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759-4392-A94C-A671F6FEFF18}"/>
                </c:ext>
              </c:extLst>
            </c:dLbl>
            <c:dLbl>
              <c:idx val="3"/>
              <c:layout>
                <c:manualLayout>
                  <c:x val="-2.3541119860017497E-3"/>
                  <c:y val="0"/>
                </c:manualLayout>
              </c:layout>
              <c:tx>
                <c:rich>
                  <a:bodyPr rot="0" spcFirstLastPara="1" vertOverflow="ellipsis" vert="horz" wrap="square" lIns="38100" tIns="19050" rIns="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fld id="{BECB69EB-9CFA-46A5-BB21-8DDB1FECE415}" type="CELLRANGE">
                      <a:rPr lang="en-US"/>
                      <a:pPr>
                        <a:defRPr sz="1000" b="1" i="0" u="none" strike="noStrike" kern="1200" baseline="0">
                          <a:solidFill>
                            <a:schemeClr val="bg1"/>
                          </a:solidFill>
                          <a:latin typeface="Arial" panose="020B0604020202020204" pitchFamily="34" charset="0"/>
                          <a:ea typeface="+mn-ea"/>
                          <a:cs typeface="Arial" panose="020B0604020202020204" pitchFamily="34" charset="0"/>
                        </a:defRPr>
                      </a:pPr>
                      <a:t>[CELLRANGE]</a:t>
                    </a:fld>
                    <a:endParaRPr lang="en-GB"/>
                  </a:p>
                </c:rich>
              </c:tx>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11-6759-4392-A94C-A671F6FEFF18}"/>
                </c:ext>
              </c:extLst>
            </c:dLbl>
            <c:dLbl>
              <c:idx val="4"/>
              <c:tx>
                <c:rich>
                  <a:bodyPr/>
                  <a:lstStyle/>
                  <a:p>
                    <a:endParaRPr lang="en-US"/>
                  </a:p>
                </c:rich>
              </c:tx>
              <c:dLblPos val="in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6759-4392-A94C-A671F6FEFF18}"/>
                </c:ext>
              </c:extLst>
            </c:dLbl>
            <c:dLbl>
              <c:idx val="5"/>
              <c:tx>
                <c:rich>
                  <a:bodyPr/>
                  <a:lstStyle/>
                  <a:p>
                    <a:fld id="{1F9DB072-6026-4903-8491-D8DF6CF6D1A6}" type="CELLRANGE">
                      <a:rPr lang="en-GB"/>
                      <a:pPr/>
                      <a:t>[CELLRANGE]</a:t>
                    </a:fld>
                    <a:endParaRPr lang="en-GB"/>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759-4392-A94C-A671F6FEFF18}"/>
                </c:ext>
              </c:extLst>
            </c:dLbl>
            <c:dLbl>
              <c:idx val="6"/>
              <c:tx>
                <c:rich>
                  <a:bodyPr/>
                  <a:lstStyle/>
                  <a:p>
                    <a:fld id="{EDB6A0C3-22E8-4F9D-A8F0-BEAF36FE847C}" type="CELLRANGE">
                      <a:rPr lang="en-GB"/>
                      <a:pPr/>
                      <a:t>[CELLRANGE]</a:t>
                    </a:fld>
                    <a:endParaRPr lang="en-GB"/>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759-4392-A94C-A671F6FEFF18}"/>
                </c:ext>
              </c:extLst>
            </c:dLbl>
            <c:dLbl>
              <c:idx val="7"/>
              <c:tx>
                <c:rich>
                  <a:bodyPr/>
                  <a:lstStyle/>
                  <a:p>
                    <a:fld id="{D7DF461A-2FC4-4DCE-9E00-493A123DA3E6}" type="CELLRANGE">
                      <a:rPr lang="en-GB"/>
                      <a:pPr/>
                      <a:t>[CELLRANGE]</a:t>
                    </a:fld>
                    <a:endParaRPr lang="en-GB"/>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759-4392-A94C-A671F6FEFF18}"/>
                </c:ext>
              </c:extLst>
            </c:dLbl>
            <c:dLbl>
              <c:idx val="8"/>
              <c:tx>
                <c:rich>
                  <a:bodyPr/>
                  <a:lstStyle/>
                  <a:p>
                    <a:fld id="{27E928E9-B577-40B4-BB40-E20FBF694BF6}" type="CELLRANGE">
                      <a:rPr lang="en-GB"/>
                      <a:pPr/>
                      <a:t>[CELLRANGE]</a:t>
                    </a:fld>
                    <a:endParaRPr lang="en-GB"/>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759-4392-A94C-A671F6FEFF1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'FY22 PLAN'!$AX$41:$AX$49</c:f>
              <c:strCache>
                <c:ptCount val="8"/>
                <c:pt idx="1">
                  <c:v>17</c:v>
                </c:pt>
                <c:pt idx="2">
                  <c:v>FY</c:v>
                </c:pt>
                <c:pt idx="6">
                  <c:v>22</c:v>
                </c:pt>
                <c:pt idx="7">
                  <c:v>FY</c:v>
                </c:pt>
              </c:strCache>
            </c:strRef>
          </c:cat>
          <c:val>
            <c:numRef>
              <c:f>'FY22 PLAN'!$AV$41:$AV$49</c:f>
              <c:numCache>
                <c:formatCode>#,##0.0</c:formatCode>
                <c:ptCount val="9"/>
                <c:pt idx="0">
                  <c:v>45.599999999999994</c:v>
                </c:pt>
                <c:pt idx="1">
                  <c:v>40.5</c:v>
                </c:pt>
                <c:pt idx="2">
                  <c:v>24.3</c:v>
                </c:pt>
                <c:pt idx="3">
                  <c:v>9.5</c:v>
                </c:pt>
                <c:pt idx="5">
                  <c:v>57.548721017651218</c:v>
                </c:pt>
                <c:pt idx="6">
                  <c:v>95.378665345000059</c:v>
                </c:pt>
                <c:pt idx="7">
                  <c:v>22.670066250543503</c:v>
                </c:pt>
                <c:pt idx="8">
                  <c:v>48.155725468597794</c:v>
                </c:pt>
              </c:numCache>
            </c:numRef>
          </c:val>
          <c:extLst>
            <c:ext xmlns:c15="http://schemas.microsoft.com/office/drawing/2012/chart" uri="{02D57815-91ED-43cb-92C2-25804820EDAC}">
              <c15:datalabelsRange>
                <c15:f>'FY22 PLAN'!$AW$41:$AW$49</c15:f>
                <c15:dlblRangeCache>
                  <c:ptCount val="9"/>
                  <c:pt idx="0">
                    <c:v>63</c:v>
                  </c:pt>
                  <c:pt idx="1">
                    <c:v>81</c:v>
                  </c:pt>
                  <c:pt idx="2">
                    <c:v>42</c:v>
                  </c:pt>
                  <c:pt idx="3">
                    <c:v>27</c:v>
                  </c:pt>
                  <c:pt idx="5">
                    <c:v>75</c:v>
                  </c:pt>
                  <c:pt idx="6">
                    <c:v>135</c:v>
                  </c:pt>
                  <c:pt idx="7">
                    <c:v>40</c:v>
                  </c:pt>
                  <c:pt idx="8">
                    <c:v>65</c:v>
                  </c:pt>
                </c15:dlblRangeCache>
              </c15:datalabelsRange>
            </c:ext>
            <c:ext xmlns:c16="http://schemas.microsoft.com/office/drawing/2014/chart" uri="{C3380CC4-5D6E-409C-BE32-E72D297353CC}">
              <c16:uniqueId val="{00000001-6759-4392-A94C-A671F6FEFF18}"/>
            </c:ext>
          </c:extLst>
        </c:ser>
        <c:dLbls>
          <c:showLegendKey val="0"/>
          <c:showVal val="0"/>
          <c:showCatName val="0"/>
          <c:showSerName val="0"/>
          <c:showPercent val="0"/>
          <c:showBubbleSize val="0"/>
        </c:dLbls>
        <c:gapWidth val="0"/>
        <c:overlap val="100"/>
        <c:axId val="659013984"/>
        <c:axId val="659018248"/>
      </c:barChart>
      <c:catAx>
        <c:axId val="6590139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59018248"/>
        <c:crosses val="autoZero"/>
        <c:auto val="1"/>
        <c:lblAlgn val="ctr"/>
        <c:lblOffset val="0"/>
        <c:noMultiLvlLbl val="0"/>
      </c:catAx>
      <c:valAx>
        <c:axId val="659018248"/>
        <c:scaling>
          <c:orientation val="minMax"/>
        </c:scaling>
        <c:delete val="1"/>
        <c:axPos val="t"/>
        <c:numFmt formatCode="General" sourceLinked="1"/>
        <c:majorTickMark val="none"/>
        <c:minorTickMark val="none"/>
        <c:tickLblPos val="nextTo"/>
        <c:crossAx val="659013984"/>
        <c:crosses val="autoZero"/>
        <c:crossBetween val="between"/>
        <c:majorUnit val="10"/>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398512685914264E-2"/>
          <c:y val="3.8837920489296636E-2"/>
          <c:w val="0.90204593175853021"/>
          <c:h val="0.92232415902140674"/>
        </c:manualLayout>
      </c:layout>
      <c:barChart>
        <c:barDir val="bar"/>
        <c:grouping val="stacked"/>
        <c:varyColors val="0"/>
        <c:ser>
          <c:idx val="0"/>
          <c:order val="0"/>
          <c:tx>
            <c:strRef>
              <c:f>'FY22 PLAN'!$AU$40</c:f>
              <c:strCache>
                <c:ptCount val="1"/>
              </c:strCache>
            </c:strRef>
          </c:tx>
          <c:spPr>
            <a:solidFill>
              <a:schemeClr val="tx1"/>
            </a:solidFill>
            <a:ln>
              <a:noFill/>
            </a:ln>
            <a:effectLst/>
          </c:spPr>
          <c:invertIfNegative val="0"/>
          <c:dLbls>
            <c:dLbl>
              <c:idx val="0"/>
              <c:tx>
                <c:rich>
                  <a:bodyPr/>
                  <a:lstStyle/>
                  <a:p>
                    <a:fld id="{975ED40C-EF1E-4BF4-8C1B-9B08ACB08132}"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759-4392-A94C-A671F6FEFF18}"/>
                </c:ext>
              </c:extLst>
            </c:dLbl>
            <c:dLbl>
              <c:idx val="1"/>
              <c:tx>
                <c:rich>
                  <a:bodyPr/>
                  <a:lstStyle/>
                  <a:p>
                    <a:endParaRPr lang="en-US"/>
                  </a:p>
                </c:rich>
              </c:tx>
              <c:dLblPos val="inBase"/>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6759-4392-A94C-A671F6FEFF18}"/>
                </c:ext>
              </c:extLst>
            </c:dLbl>
            <c:dLbl>
              <c:idx val="2"/>
              <c:tx>
                <c:rich>
                  <a:bodyPr/>
                  <a:lstStyle/>
                  <a:p>
                    <a:fld id="{B005012E-0A01-4557-BA7C-946B56FE27D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759-4392-A94C-A671F6FEFF1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'FY22 PLAN'!$AX$51:$AX$53</c:f>
              <c:strCache>
                <c:ptCount val="3"/>
                <c:pt idx="0">
                  <c:v>FY17</c:v>
                </c:pt>
                <c:pt idx="2">
                  <c:v>FY22</c:v>
                </c:pt>
              </c:strCache>
            </c:strRef>
          </c:cat>
          <c:val>
            <c:numRef>
              <c:f>'FY22 PLAN'!$AU$51:$AU$53</c:f>
              <c:numCache>
                <c:formatCode>General</c:formatCode>
                <c:ptCount val="3"/>
                <c:pt idx="0">
                  <c:v>50</c:v>
                </c:pt>
                <c:pt idx="2">
                  <c:v>50</c:v>
                </c:pt>
              </c:numCache>
            </c:numRef>
          </c:val>
          <c:extLst>
            <c:ext xmlns:c15="http://schemas.microsoft.com/office/drawing/2012/chart" uri="{02D57815-91ED-43cb-92C2-25804820EDAC}">
              <c15:datalabelsRange>
                <c15:f>'FY22 PLAN'!$AT$51:$AT$53</c15:f>
                <c15:dlblRangeCache>
                  <c:ptCount val="3"/>
                  <c:pt idx="0">
                    <c:v>Group</c:v>
                  </c:pt>
                  <c:pt idx="2">
                    <c:v>Group</c:v>
                  </c:pt>
                </c15:dlblRangeCache>
              </c15:datalabelsRange>
            </c:ext>
            <c:ext xmlns:c16="http://schemas.microsoft.com/office/drawing/2014/chart" uri="{C3380CC4-5D6E-409C-BE32-E72D297353CC}">
              <c16:uniqueId val="{00000000-6759-4392-A94C-A671F6FEFF18}"/>
            </c:ext>
          </c:extLst>
        </c:ser>
        <c:ser>
          <c:idx val="1"/>
          <c:order val="1"/>
          <c:tx>
            <c:strRef>
              <c:f>'FY22 PLAN'!$AV$40</c:f>
              <c:strCache>
                <c:ptCount val="1"/>
              </c:strCache>
            </c:strRef>
          </c:tx>
          <c:spPr>
            <a:solidFill>
              <a:schemeClr val="tx1"/>
            </a:solidFill>
            <a:ln>
              <a:noFill/>
            </a:ln>
            <a:effectLst/>
          </c:spPr>
          <c:invertIfNegative val="0"/>
          <c:dLbls>
            <c:dLbl>
              <c:idx val="0"/>
              <c:tx>
                <c:rich>
                  <a:bodyPr/>
                  <a:lstStyle/>
                  <a:p>
                    <a:fld id="{30ECE8D8-9F95-4F17-A4DD-CA0C5D2ADF37}" type="CELLRANGE">
                      <a:rPr lang="en-US"/>
                      <a:pPr/>
                      <a:t>[CELLRANGE]</a:t>
                    </a:fld>
                    <a:endParaRPr lang="en-GB"/>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759-4392-A94C-A671F6FEFF18}"/>
                </c:ext>
              </c:extLst>
            </c:dLbl>
            <c:dLbl>
              <c:idx val="1"/>
              <c:tx>
                <c:rich>
                  <a:bodyPr/>
                  <a:lstStyle/>
                  <a:p>
                    <a:endParaRPr lang="en-US"/>
                  </a:p>
                </c:rich>
              </c:tx>
              <c:dLblPos val="in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759-4392-A94C-A671F6FEFF18}"/>
                </c:ext>
              </c:extLst>
            </c:dLbl>
            <c:dLbl>
              <c:idx val="2"/>
              <c:tx>
                <c:rich>
                  <a:bodyPr/>
                  <a:lstStyle/>
                  <a:p>
                    <a:fld id="{06D5F3E8-8FA7-4AFE-AD92-4860211725C9}" type="CELLRANGE">
                      <a:rPr lang="en-GB"/>
                      <a:pPr/>
                      <a:t>[CELLRANGE]</a:t>
                    </a:fld>
                    <a:endParaRPr lang="en-GB"/>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759-4392-A94C-A671F6FEFF1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'FY22 PLAN'!$AX$51:$AX$53</c:f>
              <c:strCache>
                <c:ptCount val="3"/>
                <c:pt idx="0">
                  <c:v>FY17</c:v>
                </c:pt>
                <c:pt idx="2">
                  <c:v>FY22</c:v>
                </c:pt>
              </c:strCache>
            </c:strRef>
          </c:cat>
          <c:val>
            <c:numRef>
              <c:f>'FY22 PLAN'!$AV$51:$AV$53</c:f>
              <c:numCache>
                <c:formatCode>General</c:formatCode>
                <c:ptCount val="3"/>
                <c:pt idx="0" formatCode="#,##0.0">
                  <c:v>161.5</c:v>
                </c:pt>
                <c:pt idx="2" formatCode="#,##0.0">
                  <c:v>265.35317808179263</c:v>
                </c:pt>
              </c:numCache>
            </c:numRef>
          </c:val>
          <c:extLst>
            <c:ext xmlns:c15="http://schemas.microsoft.com/office/drawing/2012/chart" uri="{02D57815-91ED-43cb-92C2-25804820EDAC}">
              <c15:datalabelsRange>
                <c15:f>'FY22 PLAN'!$AW$51:$AW$53</c15:f>
                <c15:dlblRangeCache>
                  <c:ptCount val="3"/>
                  <c:pt idx="0">
                    <c:v>212</c:v>
                  </c:pt>
                  <c:pt idx="2">
                    <c:v>315</c:v>
                  </c:pt>
                </c15:dlblRangeCache>
              </c15:datalabelsRange>
            </c:ext>
            <c:ext xmlns:c16="http://schemas.microsoft.com/office/drawing/2014/chart" uri="{C3380CC4-5D6E-409C-BE32-E72D297353CC}">
              <c16:uniqueId val="{00000001-6759-4392-A94C-A671F6FEFF18}"/>
            </c:ext>
          </c:extLst>
        </c:ser>
        <c:dLbls>
          <c:showLegendKey val="0"/>
          <c:showVal val="0"/>
          <c:showCatName val="0"/>
          <c:showSerName val="0"/>
          <c:showPercent val="0"/>
          <c:showBubbleSize val="0"/>
        </c:dLbls>
        <c:gapWidth val="0"/>
        <c:overlap val="100"/>
        <c:axId val="659013984"/>
        <c:axId val="659018248"/>
      </c:barChart>
      <c:catAx>
        <c:axId val="6590139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59018248"/>
        <c:crosses val="autoZero"/>
        <c:auto val="1"/>
        <c:lblAlgn val="ctr"/>
        <c:lblOffset val="0"/>
        <c:noMultiLvlLbl val="0"/>
      </c:catAx>
      <c:valAx>
        <c:axId val="659018248"/>
        <c:scaling>
          <c:orientation val="minMax"/>
        </c:scaling>
        <c:delete val="1"/>
        <c:axPos val="t"/>
        <c:numFmt formatCode="General" sourceLinked="1"/>
        <c:majorTickMark val="out"/>
        <c:minorTickMark val="none"/>
        <c:tickLblPos val="nextTo"/>
        <c:crossAx val="659013984"/>
        <c:crosses val="autoZero"/>
        <c:crossBetween val="between"/>
        <c:majorUnit val="5"/>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Cumulative Cash Distributions</a:t>
            </a:r>
            <a:r>
              <a:rPr lang="en-GB" baseline="0"/>
              <a:t> to Shareholders</a:t>
            </a:r>
            <a:endParaRPr lang="en-GB"/>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7.4260468861846826E-2"/>
          <c:y val="0.12140432606695867"/>
          <c:w val="0.90680013719875929"/>
          <c:h val="0.61465765332388111"/>
        </c:manualLayout>
      </c:layout>
      <c:barChart>
        <c:barDir val="col"/>
        <c:grouping val="stacked"/>
        <c:varyColors val="0"/>
        <c:ser>
          <c:idx val="0"/>
          <c:order val="0"/>
          <c:tx>
            <c:strRef>
              <c:f>CASH!$A$8</c:f>
              <c:strCache>
                <c:ptCount val="1"/>
                <c:pt idx="0">
                  <c:v>Core dividend</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CASH!$AA$8:$AE$9</c:f>
              <c:multiLvlStrCache>
                <c:ptCount val="5"/>
                <c:lvl>
                  <c:pt idx="2">
                    <c:v>Lower</c:v>
                  </c:pt>
                  <c:pt idx="3">
                    <c:v>Mid</c:v>
                  </c:pt>
                  <c:pt idx="4">
                    <c:v>Upper</c:v>
                  </c:pt>
                </c:lvl>
                <c:lvl>
                  <c:pt idx="0">
                    <c:v>Since FY22 Plan launched</c:v>
                  </c:pt>
                  <c:pt idx="1">
                    <c:v> </c:v>
                  </c:pt>
                  <c:pt idx="2">
                    <c:v>FY22</c:v>
                  </c:pt>
                </c:lvl>
              </c:multiLvlStrCache>
            </c:multiLvlStrRef>
          </c:cat>
          <c:val>
            <c:numRef>
              <c:f>CASH!$U$8:$Y$8</c:f>
              <c:numCache>
                <c:formatCode>#,##0;\(#,##0\)</c:formatCode>
                <c:ptCount val="5"/>
                <c:pt idx="0">
                  <c:v>160.5</c:v>
                </c:pt>
                <c:pt idx="2">
                  <c:v>304</c:v>
                </c:pt>
                <c:pt idx="3">
                  <c:v>340</c:v>
                </c:pt>
                <c:pt idx="4">
                  <c:v>381</c:v>
                </c:pt>
              </c:numCache>
            </c:numRef>
          </c:val>
          <c:extLst>
            <c:ext xmlns:c16="http://schemas.microsoft.com/office/drawing/2014/chart" uri="{C3380CC4-5D6E-409C-BE32-E72D297353CC}">
              <c16:uniqueId val="{00000000-EBD2-49D2-9EC3-9640903064BD}"/>
            </c:ext>
          </c:extLst>
        </c:ser>
        <c:ser>
          <c:idx val="1"/>
          <c:order val="1"/>
          <c:tx>
            <c:strRef>
              <c:f>CASH!$A$9</c:f>
              <c:strCache>
                <c:ptCount val="1"/>
                <c:pt idx="0">
                  <c:v>Special dividend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CASH!$AA$8:$AE$9</c:f>
              <c:multiLvlStrCache>
                <c:ptCount val="5"/>
                <c:lvl>
                  <c:pt idx="2">
                    <c:v>Lower</c:v>
                  </c:pt>
                  <c:pt idx="3">
                    <c:v>Mid</c:v>
                  </c:pt>
                  <c:pt idx="4">
                    <c:v>Upper</c:v>
                  </c:pt>
                </c:lvl>
                <c:lvl>
                  <c:pt idx="0">
                    <c:v>Since FY22 Plan launched</c:v>
                  </c:pt>
                  <c:pt idx="1">
                    <c:v> </c:v>
                  </c:pt>
                  <c:pt idx="2">
                    <c:v>FY22</c:v>
                  </c:pt>
                </c:lvl>
              </c:multiLvlStrCache>
            </c:multiLvlStrRef>
          </c:cat>
          <c:val>
            <c:numRef>
              <c:f>CASH!$U$9:$Y$9</c:f>
              <c:numCache>
                <c:formatCode>#,##0;\(#,##0\)</c:formatCode>
                <c:ptCount val="5"/>
                <c:pt idx="0">
                  <c:v>207.4</c:v>
                </c:pt>
                <c:pt idx="2">
                  <c:v>347</c:v>
                </c:pt>
                <c:pt idx="3">
                  <c:v>387</c:v>
                </c:pt>
                <c:pt idx="4">
                  <c:v>439</c:v>
                </c:pt>
              </c:numCache>
            </c:numRef>
          </c:val>
          <c:extLst>
            <c:ext xmlns:c16="http://schemas.microsoft.com/office/drawing/2014/chart" uri="{C3380CC4-5D6E-409C-BE32-E72D297353CC}">
              <c16:uniqueId val="{00000001-EBD2-49D2-9EC3-9640903064BD}"/>
            </c:ext>
          </c:extLst>
        </c:ser>
        <c:ser>
          <c:idx val="2"/>
          <c:order val="2"/>
          <c:tx>
            <c:v>Dummy</c:v>
          </c:tx>
          <c:spPr>
            <a:solidFill>
              <a:schemeClr val="accent3"/>
            </a:solidFill>
            <a:ln>
              <a:noFill/>
            </a:ln>
            <a:effectLst/>
          </c:spPr>
          <c:invertIfNegative val="0"/>
          <c:dLbls>
            <c:dLbl>
              <c:idx val="0"/>
              <c:tx>
                <c:rich>
                  <a:bodyPr/>
                  <a:lstStyle/>
                  <a:p>
                    <a:fld id="{347E4D65-E27F-4EF6-9F2B-4348C0722D60}"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BD2-49D2-9EC3-9640903064BD}"/>
                </c:ext>
              </c:extLst>
            </c:dLbl>
            <c:dLbl>
              <c:idx val="1"/>
              <c:tx>
                <c:rich>
                  <a:bodyPr/>
                  <a:lstStyle/>
                  <a:p>
                    <a:fld id="{2D4181E2-1305-4CA9-9973-25006512AB75}"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BD2-49D2-9EC3-9640903064BD}"/>
                </c:ext>
              </c:extLst>
            </c:dLbl>
            <c:dLbl>
              <c:idx val="2"/>
              <c:tx>
                <c:rich>
                  <a:bodyPr/>
                  <a:lstStyle/>
                  <a:p>
                    <a:fld id="{32B5D4DE-9F90-4E2B-BDB0-47BD7471CC4C}"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BD2-49D2-9EC3-9640903064BD}"/>
                </c:ext>
              </c:extLst>
            </c:dLbl>
            <c:dLbl>
              <c:idx val="3"/>
              <c:tx>
                <c:rich>
                  <a:bodyPr/>
                  <a:lstStyle/>
                  <a:p>
                    <a:fld id="{8450EEAF-2B25-4834-9F21-ED7236407DB7}"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BD2-49D2-9EC3-9640903064BD}"/>
                </c:ext>
              </c:extLst>
            </c:dLbl>
            <c:dLbl>
              <c:idx val="4"/>
              <c:tx>
                <c:rich>
                  <a:bodyPr/>
                  <a:lstStyle/>
                  <a:p>
                    <a:fld id="{79B726A8-097F-451D-B677-A82C6EA30503}"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BD2-49D2-9EC3-9640903064BD}"/>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CASH!$U$7:$Y$7</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CASH!$U$10:$Y$10</c15:f>
                <c15:dlblRangeCache>
                  <c:ptCount val="5"/>
                  <c:pt idx="0">
                    <c:v>368</c:v>
                  </c:pt>
                  <c:pt idx="2">
                    <c:v>651</c:v>
                  </c:pt>
                  <c:pt idx="3">
                    <c:v>727</c:v>
                  </c:pt>
                  <c:pt idx="4">
                    <c:v>820</c:v>
                  </c:pt>
                </c15:dlblRangeCache>
              </c15:datalabelsRange>
            </c:ext>
            <c:ext xmlns:c16="http://schemas.microsoft.com/office/drawing/2014/chart" uri="{C3380CC4-5D6E-409C-BE32-E72D297353CC}">
              <c16:uniqueId val="{00000002-EBD2-49D2-9EC3-9640903064BD}"/>
            </c:ext>
          </c:extLst>
        </c:ser>
        <c:dLbls>
          <c:showLegendKey val="0"/>
          <c:showVal val="0"/>
          <c:showCatName val="0"/>
          <c:showSerName val="0"/>
          <c:showPercent val="0"/>
          <c:showBubbleSize val="0"/>
        </c:dLbls>
        <c:gapWidth val="0"/>
        <c:overlap val="100"/>
        <c:axId val="602054736"/>
        <c:axId val="602055064"/>
      </c:barChart>
      <c:catAx>
        <c:axId val="60205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2055064"/>
        <c:crosses val="autoZero"/>
        <c:auto val="1"/>
        <c:lblAlgn val="ctr"/>
        <c:lblOffset val="100"/>
        <c:noMultiLvlLbl val="0"/>
      </c:catAx>
      <c:valAx>
        <c:axId val="60205506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2054736"/>
        <c:crosses val="autoZero"/>
        <c:crossBetween val="between"/>
      </c:valAx>
      <c:spPr>
        <a:noFill/>
        <a:ln>
          <a:noFill/>
        </a:ln>
        <a:effectLst/>
      </c:spPr>
    </c:plotArea>
    <c:legend>
      <c:legendPos val="b"/>
      <c:legendEntry>
        <c:idx val="2"/>
        <c:delete val="1"/>
      </c:legendEntry>
      <c:layout>
        <c:manualLayout>
          <c:xMode val="edge"/>
          <c:yMode val="edge"/>
          <c:x val="0.28108550651352066"/>
          <c:y val="0.92733321518089984"/>
          <c:w val="0.35246188022656694"/>
          <c:h val="6.837953937429847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94557823129253E-3"/>
          <c:y val="5.6899641577060935E-3"/>
          <c:w val="0.9827210884353742"/>
          <c:h val="0.80125224014336915"/>
        </c:manualLayout>
      </c:layout>
      <c:barChart>
        <c:barDir val="col"/>
        <c:grouping val="percentStacked"/>
        <c:varyColors val="0"/>
        <c:ser>
          <c:idx val="2"/>
          <c:order val="0"/>
          <c:tx>
            <c:strRef>
              <c:f>'Fee &amp; Cost Breakdown'!$B$16</c:f>
              <c:strCache>
                <c:ptCount val="1"/>
                <c:pt idx="0">
                  <c:v>Temporary</c:v>
                </c:pt>
              </c:strCache>
            </c:strRef>
          </c:tx>
          <c:spPr>
            <a:solidFill>
              <a:schemeClr val="tx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Breakdown'!$V$16,'Fee &amp; Cost Breakdown'!$Y$16,'Fee &amp; Cost Breakdown'!$AB$16,'Fee &amp; Cost Breakdown'!$AE$16,'Fee &amp; Cost Breakdown'!$AH$16,'Fee &amp; Cost Breakdown'!$AK$16,'Fee &amp; Cost Breakdown'!$AN$16,'Fee &amp; Cost Breakdown'!$AQ$16)</c:f>
              <c:numCache>
                <c:formatCode>#,##0%;\(#,##0%\)</c:formatCode>
                <c:ptCount val="8"/>
                <c:pt idx="0">
                  <c:v>0.57982203611619998</c:v>
                </c:pt>
                <c:pt idx="1">
                  <c:v>0.57990867579908678</c:v>
                </c:pt>
                <c:pt idx="2">
                  <c:v>0.58736643620364548</c:v>
                </c:pt>
                <c:pt idx="3">
                  <c:v>0.57718120805369133</c:v>
                </c:pt>
                <c:pt idx="4">
                  <c:v>0.57475435956448606</c:v>
                </c:pt>
                <c:pt idx="5">
                  <c:v>0.59134711905239912</c:v>
                </c:pt>
                <c:pt idx="6">
                  <c:v>0.60581635987365212</c:v>
                </c:pt>
                <c:pt idx="7">
                  <c:v>0.55422902303682531</c:v>
                </c:pt>
              </c:numCache>
            </c:numRef>
          </c:val>
          <c:extLst>
            <c:ext xmlns:c16="http://schemas.microsoft.com/office/drawing/2014/chart" uri="{C3380CC4-5D6E-409C-BE32-E72D297353CC}">
              <c16:uniqueId val="{00000000-A4E7-4890-A32A-35381705C07E}"/>
            </c:ext>
          </c:extLst>
        </c:ser>
        <c:ser>
          <c:idx val="0"/>
          <c:order val="1"/>
          <c:tx>
            <c:strRef>
              <c:f>'Fee &amp; Cost Breakdown'!$B$17</c:f>
              <c:strCache>
                <c:ptCount val="1"/>
                <c:pt idx="0">
                  <c:v>Permanent</c:v>
                </c:pt>
              </c:strCache>
            </c:strRef>
          </c:tx>
          <c:spPr>
            <a:solidFill>
              <a:schemeClr val="tx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Breakdown'!$V$17,'Fee &amp; Cost Breakdown'!$Y$17,'Fee &amp; Cost Breakdown'!$AB$17,'Fee &amp; Cost Breakdown'!$AE$17,'Fee &amp; Cost Breakdown'!$AH$17,'Fee &amp; Cost Breakdown'!$AK$17,'Fee &amp; Cost Breakdown'!$AN$17,'Fee &amp; Cost Breakdown'!$AQ$17)</c:f>
              <c:numCache>
                <c:formatCode>#,##0%;\(#,##0%\)</c:formatCode>
                <c:ptCount val="8"/>
                <c:pt idx="0">
                  <c:v>0.42017796388380008</c:v>
                </c:pt>
                <c:pt idx="1">
                  <c:v>0.42009132420091322</c:v>
                </c:pt>
                <c:pt idx="2">
                  <c:v>0.41263356379635441</c:v>
                </c:pt>
                <c:pt idx="3">
                  <c:v>0.42281879194630878</c:v>
                </c:pt>
                <c:pt idx="4">
                  <c:v>0.42524564043551383</c:v>
                </c:pt>
                <c:pt idx="5">
                  <c:v>0.40865288094760088</c:v>
                </c:pt>
                <c:pt idx="6">
                  <c:v>0.39418364012634788</c:v>
                </c:pt>
                <c:pt idx="7">
                  <c:v>0.44577097696317469</c:v>
                </c:pt>
              </c:numCache>
            </c:numRef>
          </c:val>
          <c:extLst>
            <c:ext xmlns:c16="http://schemas.microsoft.com/office/drawing/2014/chart" uri="{C3380CC4-5D6E-409C-BE32-E72D297353CC}">
              <c16:uniqueId val="{00000001-A4E7-4890-A32A-35381705C07E}"/>
            </c:ext>
          </c:extLst>
        </c:ser>
        <c:dLbls>
          <c:showLegendKey val="0"/>
          <c:showVal val="0"/>
          <c:showCatName val="0"/>
          <c:showSerName val="0"/>
          <c:showPercent val="0"/>
          <c:showBubbleSize val="0"/>
        </c:dLbls>
        <c:gapWidth val="30"/>
        <c:overlap val="100"/>
        <c:axId val="547907512"/>
        <c:axId val="547907184"/>
      </c:barChart>
      <c:catAx>
        <c:axId val="5479075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184"/>
        <c:crosses val="autoZero"/>
        <c:auto val="1"/>
        <c:lblAlgn val="ctr"/>
        <c:lblOffset val="100"/>
        <c:noMultiLvlLbl val="0"/>
      </c:catAx>
      <c:valAx>
        <c:axId val="547907184"/>
        <c:scaling>
          <c:orientation val="minMax"/>
        </c:scaling>
        <c:delete val="1"/>
        <c:axPos val="l"/>
        <c:numFmt formatCode="0%" sourceLinked="1"/>
        <c:majorTickMark val="none"/>
        <c:minorTickMark val="none"/>
        <c:tickLblPos val="nextTo"/>
        <c:crossAx val="547907512"/>
        <c:crosses val="autoZero"/>
        <c:crossBetween val="between"/>
      </c:valAx>
      <c:spPr>
        <a:noFill/>
        <a:ln>
          <a:noFill/>
        </a:ln>
        <a:effectLst/>
      </c:spPr>
    </c:plotArea>
    <c:legend>
      <c:legendPos val="b"/>
      <c:layout>
        <c:manualLayout>
          <c:xMode val="edge"/>
          <c:yMode val="edge"/>
          <c:x val="5.210340136054422E-2"/>
          <c:y val="0.90355779569892469"/>
          <c:w val="0.89579319727891171"/>
          <c:h val="9.075224014336917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94557823129253E-3"/>
          <c:y val="5.6899641577060935E-3"/>
          <c:w val="0.9827210884353742"/>
          <c:h val="0.72982974973007453"/>
        </c:manualLayout>
      </c:layout>
      <c:barChart>
        <c:barDir val="col"/>
        <c:grouping val="percentStacked"/>
        <c:varyColors val="0"/>
        <c:ser>
          <c:idx val="2"/>
          <c:order val="0"/>
          <c:tx>
            <c:strRef>
              <c:f>'Fee &amp; Cost Breakdown'!$B$26</c:f>
              <c:strCache>
                <c:ptCount val="1"/>
                <c:pt idx="0">
                  <c:v>Technology</c:v>
                </c:pt>
              </c:strCache>
            </c:strRef>
          </c:tx>
          <c:spPr>
            <a:solidFill>
              <a:schemeClr val="tx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Breakdown'!$V$26,'Fee &amp; Cost Breakdown'!$Y$26,'Fee &amp; Cost Breakdown'!$AB$26,'Fee &amp; Cost Breakdown'!$AE$26,'Fee &amp; Cost Breakdown'!$AH$26,'Fee &amp; Cost Breakdown'!$AK$26,'Fee &amp; Cost Breakdown'!$AN$26,'Fee &amp; Cost Breakdown'!$AQ$26)</c:f>
              <c:numCache>
                <c:formatCode>#,##0%;\(#,##0%\)</c:formatCode>
                <c:ptCount val="8"/>
                <c:pt idx="0">
                  <c:v>0.18</c:v>
                </c:pt>
                <c:pt idx="1">
                  <c:v>0.2</c:v>
                </c:pt>
                <c:pt idx="2">
                  <c:v>0.21</c:v>
                </c:pt>
                <c:pt idx="3">
                  <c:v>0.21</c:v>
                </c:pt>
                <c:pt idx="4">
                  <c:v>0.23</c:v>
                </c:pt>
                <c:pt idx="5">
                  <c:v>0.25</c:v>
                </c:pt>
                <c:pt idx="6">
                  <c:v>0.26</c:v>
                </c:pt>
                <c:pt idx="7">
                  <c:v>0.26</c:v>
                </c:pt>
              </c:numCache>
            </c:numRef>
          </c:val>
          <c:extLst>
            <c:ext xmlns:c16="http://schemas.microsoft.com/office/drawing/2014/chart" uri="{C3380CC4-5D6E-409C-BE32-E72D297353CC}">
              <c16:uniqueId val="{00000000-A4E7-4890-A32A-35381705C07E}"/>
            </c:ext>
          </c:extLst>
        </c:ser>
        <c:ser>
          <c:idx val="0"/>
          <c:order val="1"/>
          <c:tx>
            <c:strRef>
              <c:f>'Fee &amp; Cost Breakdown'!$B$27</c:f>
              <c:strCache>
                <c:ptCount val="1"/>
                <c:pt idx="0">
                  <c:v>A&amp;F</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Breakdown'!$V$27,'Fee &amp; Cost Breakdown'!$Y$27,'Fee &amp; Cost Breakdown'!$AB$27,'Fee &amp; Cost Breakdown'!$AE$27,'Fee &amp; Cost Breakdown'!$AH$27,'Fee &amp; Cost Breakdown'!$AK$27,'Fee &amp; Cost Breakdown'!$AN$27,'Fee &amp; Cost Breakdown'!$AQ$27)</c:f>
              <c:numCache>
                <c:formatCode>#,##0%;\(#,##0%\)</c:formatCode>
                <c:ptCount val="8"/>
                <c:pt idx="0">
                  <c:v>0.16</c:v>
                </c:pt>
                <c:pt idx="1">
                  <c:v>0.15</c:v>
                </c:pt>
                <c:pt idx="2">
                  <c:v>0.15</c:v>
                </c:pt>
                <c:pt idx="3">
                  <c:v>0.15</c:v>
                </c:pt>
                <c:pt idx="4">
                  <c:v>0.15</c:v>
                </c:pt>
                <c:pt idx="5">
                  <c:v>0.15</c:v>
                </c:pt>
                <c:pt idx="6">
                  <c:v>0.14000000000000001</c:v>
                </c:pt>
                <c:pt idx="7">
                  <c:v>0.14000000000000001</c:v>
                </c:pt>
              </c:numCache>
            </c:numRef>
          </c:val>
          <c:extLst>
            <c:ext xmlns:c16="http://schemas.microsoft.com/office/drawing/2014/chart" uri="{C3380CC4-5D6E-409C-BE32-E72D297353CC}">
              <c16:uniqueId val="{00000001-A4E7-4890-A32A-35381705C07E}"/>
            </c:ext>
          </c:extLst>
        </c:ser>
        <c:ser>
          <c:idx val="1"/>
          <c:order val="2"/>
          <c:tx>
            <c:strRef>
              <c:f>'Fee &amp; Cost Breakdown'!$B$28</c:f>
              <c:strCache>
                <c:ptCount val="1"/>
                <c:pt idx="0">
                  <c:v>C&amp;P</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Breakdown'!$V$28,'Fee &amp; Cost Breakdown'!$Y$28,'Fee &amp; Cost Breakdown'!$AB$28,'Fee &amp; Cost Breakdown'!$AE$28,'Fee &amp; Cost Breakdown'!$AH$28,'Fee &amp; Cost Breakdown'!$AK$28,'Fee &amp; Cost Breakdown'!$AN$28,'Fee &amp; Cost Breakdown'!$AQ$28)</c:f>
              <c:numCache>
                <c:formatCode>#,##0%;\(#,##0%\)</c:formatCode>
                <c:ptCount val="8"/>
                <c:pt idx="0">
                  <c:v>0.16</c:v>
                </c:pt>
                <c:pt idx="1">
                  <c:v>0.15</c:v>
                </c:pt>
                <c:pt idx="2">
                  <c:v>0.15</c:v>
                </c:pt>
                <c:pt idx="3">
                  <c:v>0.14000000000000001</c:v>
                </c:pt>
                <c:pt idx="4">
                  <c:v>0.13</c:v>
                </c:pt>
                <c:pt idx="5">
                  <c:v>0.12</c:v>
                </c:pt>
                <c:pt idx="6">
                  <c:v>0.12</c:v>
                </c:pt>
                <c:pt idx="7">
                  <c:v>0.11</c:v>
                </c:pt>
              </c:numCache>
            </c:numRef>
          </c:val>
          <c:extLst>
            <c:ext xmlns:c16="http://schemas.microsoft.com/office/drawing/2014/chart" uri="{C3380CC4-5D6E-409C-BE32-E72D297353CC}">
              <c16:uniqueId val="{00000000-77EC-4AA1-BECF-1179D3B5B20C}"/>
            </c:ext>
          </c:extLst>
        </c:ser>
        <c:ser>
          <c:idx val="3"/>
          <c:order val="3"/>
          <c:tx>
            <c:strRef>
              <c:f>'Fee &amp; Cost Breakdown'!$B$29</c:f>
              <c:strCache>
                <c:ptCount val="1"/>
                <c:pt idx="0">
                  <c:v>Engineering</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Breakdown'!$V$29,'Fee &amp; Cost Breakdown'!$Y$29,'Fee &amp; Cost Breakdown'!$AB$29,'Fee &amp; Cost Breakdown'!$AE$29,'Fee &amp; Cost Breakdown'!$AH$29,'Fee &amp; Cost Breakdown'!$AK$29,'Fee &amp; Cost Breakdown'!$AN$29,'Fee &amp; Cost Breakdown'!$AQ$29)</c:f>
              <c:numCache>
                <c:formatCode>#,##0%;\(#,##0%\)</c:formatCode>
                <c:ptCount val="8"/>
                <c:pt idx="0">
                  <c:v>0.08</c:v>
                </c:pt>
                <c:pt idx="1">
                  <c:v>0.08</c:v>
                </c:pt>
                <c:pt idx="2">
                  <c:v>0.09</c:v>
                </c:pt>
                <c:pt idx="3">
                  <c:v>0.09</c:v>
                </c:pt>
                <c:pt idx="4">
                  <c:v>0.09</c:v>
                </c:pt>
                <c:pt idx="5">
                  <c:v>0.09</c:v>
                </c:pt>
                <c:pt idx="6">
                  <c:v>0.09</c:v>
                </c:pt>
                <c:pt idx="7">
                  <c:v>0.09</c:v>
                </c:pt>
              </c:numCache>
            </c:numRef>
          </c:val>
          <c:extLst>
            <c:ext xmlns:c16="http://schemas.microsoft.com/office/drawing/2014/chart" uri="{C3380CC4-5D6E-409C-BE32-E72D297353CC}">
              <c16:uniqueId val="{00000001-77EC-4AA1-BECF-1179D3B5B20C}"/>
            </c:ext>
          </c:extLst>
        </c:ser>
        <c:ser>
          <c:idx val="4"/>
          <c:order val="4"/>
          <c:tx>
            <c:strRef>
              <c:f>'Fee &amp; Cost Breakdown'!$B$30</c:f>
              <c:strCache>
                <c:ptCount val="1"/>
                <c:pt idx="0">
                  <c:v>Life Sciences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Breakdown'!$V$30,'Fee &amp; Cost Breakdown'!$Y$30,'Fee &amp; Cost Breakdown'!$AB$30,'Fee &amp; Cost Breakdown'!$AE$30,'Fee &amp; Cost Breakdown'!$AH$30,'Fee &amp; Cost Breakdown'!$AK$30,'Fee &amp; Cost Breakdown'!$AN$30,'Fee &amp; Cost Breakdown'!$AQ$30)</c:f>
              <c:numCache>
                <c:formatCode>#,##0%;\(#,##0%\)</c:formatCode>
                <c:ptCount val="8"/>
                <c:pt idx="0">
                  <c:v>0.04</c:v>
                </c:pt>
                <c:pt idx="1">
                  <c:v>0.05</c:v>
                </c:pt>
                <c:pt idx="2">
                  <c:v>0.05</c:v>
                </c:pt>
                <c:pt idx="3">
                  <c:v>0.04</c:v>
                </c:pt>
                <c:pt idx="4">
                  <c:v>0.04</c:v>
                </c:pt>
                <c:pt idx="5">
                  <c:v>0.05</c:v>
                </c:pt>
                <c:pt idx="6">
                  <c:v>0.06</c:v>
                </c:pt>
                <c:pt idx="7">
                  <c:v>0.05</c:v>
                </c:pt>
              </c:numCache>
            </c:numRef>
          </c:val>
          <c:extLst>
            <c:ext xmlns:c16="http://schemas.microsoft.com/office/drawing/2014/chart" uri="{C3380CC4-5D6E-409C-BE32-E72D297353CC}">
              <c16:uniqueId val="{00000002-77EC-4AA1-BECF-1179D3B5B20C}"/>
            </c:ext>
          </c:extLst>
        </c:ser>
        <c:ser>
          <c:idx val="5"/>
          <c:order val="5"/>
          <c:tx>
            <c:strRef>
              <c:f>'Fee &amp; Cost Breakdown'!$B$31</c:f>
              <c:strCache>
                <c:ptCount val="1"/>
                <c:pt idx="0">
                  <c:v>Office Support</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Breakdown'!$V$31,'Fee &amp; Cost Breakdown'!$Y$31,'Fee &amp; Cost Breakdown'!$AB$31,'Fee &amp; Cost Breakdown'!$AE$31,'Fee &amp; Cost Breakdown'!$AH$31,'Fee &amp; Cost Breakdown'!$AK$31,'Fee &amp; Cost Breakdown'!$AN$31,'Fee &amp; Cost Breakdown'!$AQ$31)</c:f>
              <c:numCache>
                <c:formatCode>#,##0%;\(#,##0%\)</c:formatCode>
                <c:ptCount val="8"/>
                <c:pt idx="0">
                  <c:v>0.08</c:v>
                </c:pt>
                <c:pt idx="1">
                  <c:v>0.08</c:v>
                </c:pt>
                <c:pt idx="2">
                  <c:v>7.0000000000000007E-2</c:v>
                </c:pt>
                <c:pt idx="3">
                  <c:v>7.0000000000000007E-2</c:v>
                </c:pt>
                <c:pt idx="4">
                  <c:v>7.0000000000000007E-2</c:v>
                </c:pt>
                <c:pt idx="5">
                  <c:v>0.06</c:v>
                </c:pt>
                <c:pt idx="6">
                  <c:v>0.05</c:v>
                </c:pt>
                <c:pt idx="7">
                  <c:v>0.06</c:v>
                </c:pt>
              </c:numCache>
            </c:numRef>
          </c:val>
          <c:extLst>
            <c:ext xmlns:c16="http://schemas.microsoft.com/office/drawing/2014/chart" uri="{C3380CC4-5D6E-409C-BE32-E72D297353CC}">
              <c16:uniqueId val="{00000003-77EC-4AA1-BECF-1179D3B5B20C}"/>
            </c:ext>
          </c:extLst>
        </c:ser>
        <c:ser>
          <c:idx val="6"/>
          <c:order val="6"/>
          <c:tx>
            <c:strRef>
              <c:f>'Fee &amp; Cost Breakdown'!#REF!</c:f>
              <c:strCache>
                <c:ptCount val="1"/>
                <c:pt idx="0">
                  <c:v>#REF!</c:v>
                </c:pt>
              </c:strCache>
            </c:strRef>
          </c:tx>
          <c:spPr>
            <a:solidFill>
              <a:srgbClr val="99DAF3"/>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Breakdown'!#REF!,'Fee &amp; Cost Breakdown'!#REF!,'Fee &amp; Cost Breakdown'!#REF!,'Fee &amp; Cost Breakdown'!#REF!,'Fee &amp; Cost Breakdown'!#REF!,'Fee &amp; Cost Breakdown'!#REF!,'Fee &amp; Cost Breakdown'!#REF!,'Fee &amp; Cost Breakdown'!#REF!)</c:f>
              <c:numCache>
                <c:formatCode>General</c:formatCode>
                <c:ptCount val="1"/>
                <c:pt idx="0">
                  <c:v>1</c:v>
                </c:pt>
              </c:numCache>
            </c:numRef>
          </c:val>
          <c:extLst>
            <c:ext xmlns:c16="http://schemas.microsoft.com/office/drawing/2014/chart" uri="{C3380CC4-5D6E-409C-BE32-E72D297353CC}">
              <c16:uniqueId val="{00000004-77EC-4AA1-BECF-1179D3B5B20C}"/>
            </c:ext>
          </c:extLst>
        </c:ser>
        <c:ser>
          <c:idx val="7"/>
          <c:order val="7"/>
          <c:tx>
            <c:strRef>
              <c:f>'Fee &amp; Cost Breakdown'!#REF!</c:f>
              <c:strCache>
                <c:ptCount val="1"/>
                <c:pt idx="0">
                  <c:v>#REF!</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Breakdown'!#REF!,'Fee &amp; Cost Breakdown'!#REF!,'Fee &amp; Cost Breakdown'!#REF!,'Fee &amp; Cost Breakdown'!#REF!,'Fee &amp; Cost Breakdown'!#REF!,'Fee &amp; Cost Breakdown'!#REF!,'Fee &amp; Cost Breakdown'!#REF!,'Fee &amp; Cost Breakdown'!#REF!)</c:f>
              <c:numCache>
                <c:formatCode>General</c:formatCode>
                <c:ptCount val="1"/>
                <c:pt idx="0">
                  <c:v>1</c:v>
                </c:pt>
              </c:numCache>
            </c:numRef>
          </c:val>
          <c:extLst>
            <c:ext xmlns:c16="http://schemas.microsoft.com/office/drawing/2014/chart" uri="{C3380CC4-5D6E-409C-BE32-E72D297353CC}">
              <c16:uniqueId val="{00000005-77EC-4AA1-BECF-1179D3B5B20C}"/>
            </c:ext>
          </c:extLst>
        </c:ser>
        <c:ser>
          <c:idx val="8"/>
          <c:order val="8"/>
          <c:tx>
            <c:strRef>
              <c:f>'Fee &amp; Cost Breakdown'!$B$32</c:f>
              <c:strCache>
                <c:ptCount val="1"/>
                <c:pt idx="0">
                  <c:v>Other</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Breakdown'!$V$32,'Fee &amp; Cost Breakdown'!$Y$32,'Fee &amp; Cost Breakdown'!$AB$32,'Fee &amp; Cost Breakdown'!$AE$32,'Fee &amp; Cost Breakdown'!$AH$32,'Fee &amp; Cost Breakdown'!$AK$32,'Fee &amp; Cost Breakdown'!$AN$32,'Fee &amp; Cost Breakdown'!$AQ$32)</c:f>
              <c:numCache>
                <c:formatCode>#,##0%;\(#,##0%\)</c:formatCode>
                <c:ptCount val="8"/>
                <c:pt idx="0">
                  <c:v>0.30000000000000004</c:v>
                </c:pt>
                <c:pt idx="1">
                  <c:v>0.29000000000000004</c:v>
                </c:pt>
                <c:pt idx="2">
                  <c:v>0.28000000000000003</c:v>
                </c:pt>
                <c:pt idx="3">
                  <c:v>0.30000000000000004</c:v>
                </c:pt>
                <c:pt idx="4">
                  <c:v>0.29000000000000004</c:v>
                </c:pt>
                <c:pt idx="5">
                  <c:v>0.28000000000000003</c:v>
                </c:pt>
                <c:pt idx="6">
                  <c:v>0.28000000000000003</c:v>
                </c:pt>
                <c:pt idx="7">
                  <c:v>0.29000000000000004</c:v>
                </c:pt>
              </c:numCache>
            </c:numRef>
          </c:val>
          <c:extLst>
            <c:ext xmlns:c16="http://schemas.microsoft.com/office/drawing/2014/chart" uri="{C3380CC4-5D6E-409C-BE32-E72D297353CC}">
              <c16:uniqueId val="{00000006-77EC-4AA1-BECF-1179D3B5B20C}"/>
            </c:ext>
          </c:extLst>
        </c:ser>
        <c:dLbls>
          <c:showLegendKey val="0"/>
          <c:showVal val="0"/>
          <c:showCatName val="0"/>
          <c:showSerName val="0"/>
          <c:showPercent val="0"/>
          <c:showBubbleSize val="0"/>
        </c:dLbls>
        <c:gapWidth val="30"/>
        <c:overlap val="100"/>
        <c:axId val="547907512"/>
        <c:axId val="547907184"/>
      </c:barChart>
      <c:catAx>
        <c:axId val="5479075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184"/>
        <c:crosses val="autoZero"/>
        <c:auto val="1"/>
        <c:lblAlgn val="ctr"/>
        <c:lblOffset val="100"/>
        <c:noMultiLvlLbl val="0"/>
      </c:catAx>
      <c:valAx>
        <c:axId val="547907184"/>
        <c:scaling>
          <c:orientation val="minMax"/>
        </c:scaling>
        <c:delete val="1"/>
        <c:axPos val="l"/>
        <c:numFmt formatCode="0%" sourceLinked="1"/>
        <c:majorTickMark val="none"/>
        <c:minorTickMark val="none"/>
        <c:tickLblPos val="nextTo"/>
        <c:crossAx val="547907512"/>
        <c:crosses val="autoZero"/>
        <c:crossBetween val="between"/>
      </c:valAx>
      <c:spPr>
        <a:noFill/>
        <a:ln>
          <a:noFill/>
        </a:ln>
        <a:effectLst/>
      </c:spPr>
    </c:plotArea>
    <c:legend>
      <c:legendPos val="b"/>
      <c:layout>
        <c:manualLayout>
          <c:xMode val="edge"/>
          <c:yMode val="edge"/>
          <c:x val="0"/>
          <c:y val="0.83749788680487136"/>
          <c:w val="1"/>
          <c:h val="0.1625021131951285"/>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b="1">
          <a:solidFill>
            <a:schemeClr val="bg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94557823129253E-3"/>
          <c:y val="5.6899641577060935E-3"/>
          <c:w val="0.9827210884353742"/>
          <c:h val="0.80125224014336915"/>
        </c:manualLayout>
      </c:layout>
      <c:barChart>
        <c:barDir val="col"/>
        <c:grouping val="percentStacked"/>
        <c:varyColors val="0"/>
        <c:ser>
          <c:idx val="2"/>
          <c:order val="0"/>
          <c:tx>
            <c:strRef>
              <c:f>'Fee &amp; Cost Breakdown'!$B$36</c:f>
              <c:strCache>
                <c:ptCount val="1"/>
                <c:pt idx="0">
                  <c:v>Professional</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Breakdown'!$V$36,'Fee &amp; Cost Breakdown'!$Y$36,'Fee &amp; Cost Breakdown'!$AB$36,'Fee &amp; Cost Breakdown'!$AE$36,'Fee &amp; Cost Breakdown'!$AH$36,'Fee &amp; Cost Breakdown'!$AK$36,'Fee &amp; Cost Breakdown'!$AN$36,'Fee &amp; Cost Breakdown'!$AQ$36)</c:f>
              <c:numCache>
                <c:formatCode>#,##0%;\(#,##0%\)</c:formatCode>
                <c:ptCount val="8"/>
                <c:pt idx="0">
                  <c:v>0.4</c:v>
                </c:pt>
                <c:pt idx="1">
                  <c:v>0.39</c:v>
                </c:pt>
                <c:pt idx="2">
                  <c:v>0.38</c:v>
                </c:pt>
                <c:pt idx="3">
                  <c:v>0.38</c:v>
                </c:pt>
                <c:pt idx="4">
                  <c:v>0.38</c:v>
                </c:pt>
                <c:pt idx="5">
                  <c:v>0.37</c:v>
                </c:pt>
                <c:pt idx="6">
                  <c:v>0.36</c:v>
                </c:pt>
                <c:pt idx="7">
                  <c:v>0.35</c:v>
                </c:pt>
              </c:numCache>
            </c:numRef>
          </c:val>
          <c:extLst>
            <c:ext xmlns:c16="http://schemas.microsoft.com/office/drawing/2014/chart" uri="{C3380CC4-5D6E-409C-BE32-E72D297353CC}">
              <c16:uniqueId val="{00000000-A4E7-4890-A32A-35381705C07E}"/>
            </c:ext>
          </c:extLst>
        </c:ser>
        <c:ser>
          <c:idx val="0"/>
          <c:order val="1"/>
          <c:tx>
            <c:strRef>
              <c:f>'Fee &amp; Cost Breakdown'!$B$37</c:f>
              <c:strCache>
                <c:ptCount val="1"/>
                <c:pt idx="0">
                  <c:v>Technical</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Breakdown'!$V$37,'Fee &amp; Cost Breakdown'!$Y$37,'Fee &amp; Cost Breakdown'!$AB$37,'Fee &amp; Cost Breakdown'!$AE$37,'Fee &amp; Cost Breakdown'!$AH$37,'Fee &amp; Cost Breakdown'!$AK$37,'Fee &amp; Cost Breakdown'!$AN$37,'Fee &amp; Cost Breakdown'!$AQ$37)</c:f>
              <c:numCache>
                <c:formatCode>#,##0%;\(#,##0%\)</c:formatCode>
                <c:ptCount val="8"/>
                <c:pt idx="0">
                  <c:v>0.6</c:v>
                </c:pt>
                <c:pt idx="1">
                  <c:v>0.61</c:v>
                </c:pt>
                <c:pt idx="2">
                  <c:v>0.62</c:v>
                </c:pt>
                <c:pt idx="3">
                  <c:v>0.62</c:v>
                </c:pt>
                <c:pt idx="4">
                  <c:v>0.62</c:v>
                </c:pt>
                <c:pt idx="5">
                  <c:v>0.63</c:v>
                </c:pt>
                <c:pt idx="6">
                  <c:v>0.64</c:v>
                </c:pt>
                <c:pt idx="7">
                  <c:v>0.65</c:v>
                </c:pt>
              </c:numCache>
            </c:numRef>
          </c:val>
          <c:extLst>
            <c:ext xmlns:c16="http://schemas.microsoft.com/office/drawing/2014/chart" uri="{C3380CC4-5D6E-409C-BE32-E72D297353CC}">
              <c16:uniqueId val="{00000001-A4E7-4890-A32A-35381705C07E}"/>
            </c:ext>
          </c:extLst>
        </c:ser>
        <c:dLbls>
          <c:showLegendKey val="0"/>
          <c:showVal val="0"/>
          <c:showCatName val="0"/>
          <c:showSerName val="0"/>
          <c:showPercent val="0"/>
          <c:showBubbleSize val="0"/>
        </c:dLbls>
        <c:gapWidth val="30"/>
        <c:overlap val="100"/>
        <c:axId val="547907512"/>
        <c:axId val="547907184"/>
      </c:barChart>
      <c:catAx>
        <c:axId val="5479075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184"/>
        <c:crosses val="autoZero"/>
        <c:auto val="1"/>
        <c:lblAlgn val="ctr"/>
        <c:lblOffset val="100"/>
        <c:noMultiLvlLbl val="0"/>
      </c:catAx>
      <c:valAx>
        <c:axId val="547907184"/>
        <c:scaling>
          <c:orientation val="minMax"/>
        </c:scaling>
        <c:delete val="1"/>
        <c:axPos val="l"/>
        <c:numFmt formatCode="0%" sourceLinked="1"/>
        <c:majorTickMark val="none"/>
        <c:minorTickMark val="none"/>
        <c:tickLblPos val="nextTo"/>
        <c:crossAx val="547907512"/>
        <c:crosses val="autoZero"/>
        <c:crossBetween val="between"/>
      </c:valAx>
      <c:spPr>
        <a:noFill/>
        <a:ln>
          <a:noFill/>
        </a:ln>
        <a:effectLst/>
      </c:spPr>
    </c:plotArea>
    <c:legend>
      <c:legendPos val="b"/>
      <c:layout>
        <c:manualLayout>
          <c:xMode val="edge"/>
          <c:yMode val="edge"/>
          <c:x val="5.210340136054422E-2"/>
          <c:y val="0.90355779569892469"/>
          <c:w val="0.89579319727891171"/>
          <c:h val="9.075224014336917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519274376417234E-2"/>
          <c:y val="2.2759856630824374E-2"/>
          <c:w val="0.97696145124716549"/>
          <c:h val="0.78418234767025086"/>
        </c:manualLayout>
      </c:layout>
      <c:barChart>
        <c:barDir val="col"/>
        <c:grouping val="stacked"/>
        <c:varyColors val="0"/>
        <c:ser>
          <c:idx val="1"/>
          <c:order val="0"/>
          <c:tx>
            <c:strRef>
              <c:f>Database!$B$81</c:f>
              <c:strCache>
                <c:ptCount val="1"/>
                <c:pt idx="0">
                  <c:v>Germany</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(Database!$V$81,Database!$Y$81,Database!$AB$81,Database!$AE$81,Database!$AH$81,Database!$AK$81,Database!$AN$81,Database!$AQ$81)</c:f>
              <c:numCache>
                <c:formatCode>#,##0.0;\(#,##0.0\)</c:formatCode>
                <c:ptCount val="8"/>
                <c:pt idx="0">
                  <c:v>59.5</c:v>
                </c:pt>
                <c:pt idx="1">
                  <c:v>63.2</c:v>
                </c:pt>
                <c:pt idx="2">
                  <c:v>80.5</c:v>
                </c:pt>
                <c:pt idx="3">
                  <c:v>86</c:v>
                </c:pt>
                <c:pt idx="4">
                  <c:v>91.3</c:v>
                </c:pt>
                <c:pt idx="5">
                  <c:v>53.2</c:v>
                </c:pt>
                <c:pt idx="6">
                  <c:v>31.4</c:v>
                </c:pt>
                <c:pt idx="7">
                  <c:v>75.599999999999994</c:v>
                </c:pt>
              </c:numCache>
            </c:numRef>
          </c:val>
          <c:extLst>
            <c:ext xmlns:c16="http://schemas.microsoft.com/office/drawing/2014/chart" uri="{C3380CC4-5D6E-409C-BE32-E72D297353CC}">
              <c16:uniqueId val="{00000001-DA29-4A17-A997-45677D84E215}"/>
            </c:ext>
          </c:extLst>
        </c:ser>
        <c:ser>
          <c:idx val="2"/>
          <c:order val="1"/>
          <c:tx>
            <c:strRef>
              <c:f>Database!$B$85</c:f>
              <c:strCache>
                <c:ptCount val="1"/>
                <c:pt idx="0">
                  <c:v>UK &amp; Ireland</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(Database!$V$85,Database!$Y$85,Database!$AB$85,Database!$AE$85,Database!$AH$85,Database!$AK$85,Database!$AN$85,Database!$AQ$85)</c:f>
              <c:numCache>
                <c:formatCode>#,##0.0;\(#,##0.0\)</c:formatCode>
                <c:ptCount val="8"/>
                <c:pt idx="0">
                  <c:v>45.65</c:v>
                </c:pt>
                <c:pt idx="1">
                  <c:v>52.1</c:v>
                </c:pt>
                <c:pt idx="2">
                  <c:v>41.5</c:v>
                </c:pt>
                <c:pt idx="3">
                  <c:v>47</c:v>
                </c:pt>
                <c:pt idx="4">
                  <c:v>48.9</c:v>
                </c:pt>
                <c:pt idx="5">
                  <c:v>16.600000000000001</c:v>
                </c:pt>
                <c:pt idx="6">
                  <c:v>11.5</c:v>
                </c:pt>
                <c:pt idx="7">
                  <c:v>43.4</c:v>
                </c:pt>
              </c:numCache>
            </c:numRef>
          </c:val>
          <c:extLst>
            <c:ext xmlns:c16="http://schemas.microsoft.com/office/drawing/2014/chart" uri="{C3380CC4-5D6E-409C-BE32-E72D297353CC}">
              <c16:uniqueId val="{00000002-DA29-4A17-A997-45677D84E215}"/>
            </c:ext>
          </c:extLst>
        </c:ser>
        <c:ser>
          <c:idx val="0"/>
          <c:order val="2"/>
          <c:tx>
            <c:strRef>
              <c:f>Database!$B$77</c:f>
              <c:strCache>
                <c:ptCount val="1"/>
                <c:pt idx="0">
                  <c:v>Australia &amp; NZ</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(Database!$V$77,Database!$Y$77,Database!$AB$77,Database!$AE$77,Database!$AH$77,Database!$AK$77,Database!$AN$77,Database!$AQ$77)</c:f>
              <c:numCache>
                <c:formatCode>#,##0.0;\(#,##0.0\)</c:formatCode>
                <c:ptCount val="8"/>
                <c:pt idx="0">
                  <c:v>44.2</c:v>
                </c:pt>
                <c:pt idx="1">
                  <c:v>44</c:v>
                </c:pt>
                <c:pt idx="2">
                  <c:v>62.8</c:v>
                </c:pt>
                <c:pt idx="3">
                  <c:v>69.099999999999994</c:v>
                </c:pt>
                <c:pt idx="4">
                  <c:v>66.400000000000006</c:v>
                </c:pt>
                <c:pt idx="5">
                  <c:v>48.2</c:v>
                </c:pt>
                <c:pt idx="6">
                  <c:v>39.700000000000003</c:v>
                </c:pt>
                <c:pt idx="7">
                  <c:v>51.6</c:v>
                </c:pt>
              </c:numCache>
            </c:numRef>
          </c:val>
          <c:extLst>
            <c:ext xmlns:c16="http://schemas.microsoft.com/office/drawing/2014/chart" uri="{C3380CC4-5D6E-409C-BE32-E72D297353CC}">
              <c16:uniqueId val="{00000000-DA29-4A17-A997-45677D84E215}"/>
            </c:ext>
          </c:extLst>
        </c:ser>
        <c:ser>
          <c:idx val="3"/>
          <c:order val="3"/>
          <c:tx>
            <c:strRef>
              <c:f>Database!$B$89</c:f>
              <c:strCache>
                <c:ptCount val="1"/>
                <c:pt idx="0">
                  <c:v>Rest of World</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(Database!$V$89,Database!$Y$89,Database!$AB$89,Database!$AE$89,Database!$AH$89,Database!$AK$89,Database!$AN$89,Database!$AQ$89)</c:f>
              <c:numCache>
                <c:formatCode>#,##0.0;\(#,##0.0\)</c:formatCode>
                <c:ptCount val="8"/>
                <c:pt idx="0">
                  <c:v>14.75</c:v>
                </c:pt>
                <c:pt idx="1">
                  <c:v>21.7</c:v>
                </c:pt>
                <c:pt idx="2">
                  <c:v>26.7</c:v>
                </c:pt>
                <c:pt idx="3">
                  <c:v>41.3</c:v>
                </c:pt>
                <c:pt idx="4">
                  <c:v>42.2</c:v>
                </c:pt>
                <c:pt idx="5">
                  <c:v>17</c:v>
                </c:pt>
                <c:pt idx="6">
                  <c:v>12.5</c:v>
                </c:pt>
                <c:pt idx="7">
                  <c:v>39.5</c:v>
                </c:pt>
              </c:numCache>
            </c:numRef>
          </c:val>
          <c:extLst>
            <c:ext xmlns:c16="http://schemas.microsoft.com/office/drawing/2014/chart" uri="{C3380CC4-5D6E-409C-BE32-E72D297353CC}">
              <c16:uniqueId val="{00000003-DA29-4A17-A997-45677D84E215}"/>
            </c:ext>
          </c:extLst>
        </c:ser>
        <c:ser>
          <c:idx val="4"/>
          <c:order val="4"/>
          <c:tx>
            <c:strRef>
              <c:f>Database!$B$97</c:f>
              <c:strCache>
                <c:ptCount val="1"/>
              </c:strCache>
            </c:strRef>
          </c:tx>
          <c:spPr>
            <a:solidFill>
              <a:schemeClr val="accent5"/>
            </a:solidFill>
            <a:ln>
              <a:noFill/>
            </a:ln>
            <a:effectLst/>
          </c:spPr>
          <c:invertIfNegative val="0"/>
          <c:dLbls>
            <c:dLbl>
              <c:idx val="0"/>
              <c:tx>
                <c:rich>
                  <a:bodyPr/>
                  <a:lstStyle/>
                  <a:p>
                    <a:fld id="{3CA8B6A4-77C6-4DEA-881E-56FECE0B71E1}"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28C-47C4-881D-7E20C83C72AA}"/>
                </c:ext>
              </c:extLst>
            </c:dLbl>
            <c:dLbl>
              <c:idx val="1"/>
              <c:tx>
                <c:rich>
                  <a:bodyPr/>
                  <a:lstStyle/>
                  <a:p>
                    <a:fld id="{DFBD94CE-EED8-4194-BB71-7D943B7B7B6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28C-47C4-881D-7E20C83C72AA}"/>
                </c:ext>
              </c:extLst>
            </c:dLbl>
            <c:dLbl>
              <c:idx val="2"/>
              <c:tx>
                <c:rich>
                  <a:bodyPr/>
                  <a:lstStyle/>
                  <a:p>
                    <a:fld id="{93181067-1A83-438D-8468-9850CB21DE5A}"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28C-47C4-881D-7E20C83C72AA}"/>
                </c:ext>
              </c:extLst>
            </c:dLbl>
            <c:dLbl>
              <c:idx val="3"/>
              <c:tx>
                <c:rich>
                  <a:bodyPr/>
                  <a:lstStyle/>
                  <a:p>
                    <a:fld id="{888D0C70-9873-4041-A8C4-B2C4BF0D3401}"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28C-47C4-881D-7E20C83C72AA}"/>
                </c:ext>
              </c:extLst>
            </c:dLbl>
            <c:dLbl>
              <c:idx val="4"/>
              <c:tx>
                <c:rich>
                  <a:bodyPr/>
                  <a:lstStyle/>
                  <a:p>
                    <a:fld id="{B556EFF1-045B-45B4-89E1-76F6B7DFA30D}"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28C-47C4-881D-7E20C83C72AA}"/>
                </c:ext>
              </c:extLst>
            </c:dLbl>
            <c:dLbl>
              <c:idx val="5"/>
              <c:tx>
                <c:rich>
                  <a:bodyPr/>
                  <a:lstStyle/>
                  <a:p>
                    <a:fld id="{CD3C0EFF-B276-4428-94EC-87E9924BAAA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B0DE-40C2-ABC3-EB3359914ADF}"/>
                </c:ext>
              </c:extLst>
            </c:dLbl>
            <c:dLbl>
              <c:idx val="6"/>
              <c:tx>
                <c:rich>
                  <a:bodyPr/>
                  <a:lstStyle/>
                  <a:p>
                    <a:fld id="{B14B6B95-A294-4D00-B374-2773011C5C2D}"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C6C-4F9C-A58A-CC2EFFBADE4F}"/>
                </c:ext>
              </c:extLst>
            </c:dLbl>
            <c:dLbl>
              <c:idx val="7"/>
              <c:tx>
                <c:rich>
                  <a:bodyPr/>
                  <a:lstStyle/>
                  <a:p>
                    <a:fld id="{5494B1BB-2DAC-445C-AF2E-C807FB291C98}"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9386-4BF0-BA78-E8AE7CEAA12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(Database!$V$5,Database!$Y$5,Database!$AB$5,Database!$AE$5,Database!$AH$5,Database!$AK$5,Database!$AN$5,Database!$AQ$5)</c:f>
              <c:strCache>
                <c:ptCount val="8"/>
                <c:pt idx="0">
                  <c:v>FY15</c:v>
                </c:pt>
                <c:pt idx="1">
                  <c:v>FY16</c:v>
                </c:pt>
                <c:pt idx="2">
                  <c:v>FY17</c:v>
                </c:pt>
                <c:pt idx="3">
                  <c:v>FY18</c:v>
                </c:pt>
                <c:pt idx="4">
                  <c:v>FY19</c:v>
                </c:pt>
                <c:pt idx="5">
                  <c:v>FY20</c:v>
                </c:pt>
                <c:pt idx="6">
                  <c:v>FY21</c:v>
                </c:pt>
                <c:pt idx="7">
                  <c:v>FY22</c:v>
                </c:pt>
              </c:strCache>
            </c:strRef>
          </c:cat>
          <c:val>
            <c:numRef>
              <c:f>(Database!$V$262,Database!$Y$262,Database!$AB$262,Database!$AE$262,Database!$AH$262,Database!$AK$262,Database!$AN$262,Database!$AQ$262)</c:f>
              <c:numCache>
                <c:formatCode>#,##0;\(#,##0\)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datalabelsRange>
                <c15:f>(Database!$V$97,Database!$Y$97,Database!$AB$97,Database!$AE$97,Database!$AH$97,Database!$AK$97,Database!$AN$97,Database!$AQ$97)</c15:f>
                <c15:dlblRangeCache>
                  <c:ptCount val="8"/>
                  <c:pt idx="0">
                    <c:v>164</c:v>
                  </c:pt>
                  <c:pt idx="1">
                    <c:v>181</c:v>
                  </c:pt>
                  <c:pt idx="2">
                    <c:v>212</c:v>
                  </c:pt>
                  <c:pt idx="3">
                    <c:v>243</c:v>
                  </c:pt>
                  <c:pt idx="4">
                    <c:v>249</c:v>
                  </c:pt>
                  <c:pt idx="5">
                    <c:v>135</c:v>
                  </c:pt>
                  <c:pt idx="6">
                    <c:v>95</c:v>
                  </c:pt>
                  <c:pt idx="7">
                    <c:v>210</c:v>
                  </c:pt>
                </c15:dlblRangeCache>
              </c15:datalabelsRange>
            </c:ext>
            <c:ext xmlns:c16="http://schemas.microsoft.com/office/drawing/2014/chart" uri="{C3380CC4-5D6E-409C-BE32-E72D297353CC}">
              <c16:uniqueId val="{00000004-DA29-4A17-A997-45677D84E215}"/>
            </c:ext>
          </c:extLst>
        </c:ser>
        <c:dLbls>
          <c:showLegendKey val="0"/>
          <c:showVal val="0"/>
          <c:showCatName val="0"/>
          <c:showSerName val="0"/>
          <c:showPercent val="0"/>
          <c:showBubbleSize val="0"/>
        </c:dLbls>
        <c:gapWidth val="30"/>
        <c:overlap val="100"/>
        <c:axId val="547907512"/>
        <c:axId val="547907184"/>
      </c:barChart>
      <c:catAx>
        <c:axId val="547907512"/>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184"/>
        <c:crosses val="autoZero"/>
        <c:auto val="1"/>
        <c:lblAlgn val="ctr"/>
        <c:lblOffset val="0"/>
        <c:noMultiLvlLbl val="0"/>
      </c:catAx>
      <c:valAx>
        <c:axId val="547907184"/>
        <c:scaling>
          <c:orientation val="minMax"/>
        </c:scaling>
        <c:delete val="1"/>
        <c:axPos val="l"/>
        <c:numFmt formatCode="#,##0.0;\(#,##0.0\)" sourceLinked="1"/>
        <c:majorTickMark val="out"/>
        <c:minorTickMark val="none"/>
        <c:tickLblPos val="nextTo"/>
        <c:crossAx val="547907512"/>
        <c:crosses val="autoZero"/>
        <c:crossBetween val="between"/>
        <c:majorUnit val="25"/>
      </c:valAx>
      <c:spPr>
        <a:noFill/>
        <a:ln>
          <a:noFill/>
        </a:ln>
        <a:effectLst/>
      </c:spPr>
    </c:plotArea>
    <c:legend>
      <c:legendPos val="b"/>
      <c:legendEntry>
        <c:idx val="4"/>
        <c:delete val="1"/>
      </c:legendEntry>
      <c:layout>
        <c:manualLayout>
          <c:xMode val="edge"/>
          <c:yMode val="edge"/>
          <c:x val="5.210340136054422E-2"/>
          <c:y val="0.90355779569892469"/>
          <c:w val="0.89579319727891171"/>
          <c:h val="9.075224014336917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519274376417234E-2"/>
          <c:y val="5.1209677419354838E-2"/>
          <c:w val="0.97696145124716549"/>
          <c:h val="0.77280241935483873"/>
        </c:manualLayout>
      </c:layout>
      <c:barChart>
        <c:barDir val="col"/>
        <c:grouping val="percentStacked"/>
        <c:varyColors val="0"/>
        <c:ser>
          <c:idx val="1"/>
          <c:order val="0"/>
          <c:tx>
            <c:strRef>
              <c:f>'Fee &amp; Cost Breakdown'!$B$53</c:f>
              <c:strCache>
                <c:ptCount val="1"/>
                <c:pt idx="0">
                  <c:v>Germany</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Breakdown'!$V$53,'Fee &amp; Cost Breakdown'!$Y$53,'Fee &amp; Cost Breakdown'!$AB$53,'Fee &amp; Cost Breakdown'!$AE$53,'Fee &amp; Cost Breakdown'!$AH$53,'Fee &amp; Cost Breakdown'!$AK$53,'Fee &amp; Cost Breakdown'!$AN$53,'Fee &amp; Cost Breakdown'!$AQ$53)</c:f>
              <c:numCache>
                <c:formatCode>#,##0%;\(#,##0%\)</c:formatCode>
                <c:ptCount val="8"/>
                <c:pt idx="0">
                  <c:v>0.36258379037172456</c:v>
                </c:pt>
                <c:pt idx="1">
                  <c:v>0.34917127071823206</c:v>
                </c:pt>
                <c:pt idx="2">
                  <c:v>0.38061465721040189</c:v>
                </c:pt>
                <c:pt idx="3">
                  <c:v>0.35332785538208711</c:v>
                </c:pt>
                <c:pt idx="4">
                  <c:v>0.36696141479099675</c:v>
                </c:pt>
                <c:pt idx="5">
                  <c:v>0.39407407407407408</c:v>
                </c:pt>
                <c:pt idx="6">
                  <c:v>0.33017875920084122</c:v>
                </c:pt>
                <c:pt idx="7">
                  <c:v>0.35982865302237027</c:v>
                </c:pt>
              </c:numCache>
            </c:numRef>
          </c:val>
          <c:extLst>
            <c:ext xmlns:c16="http://schemas.microsoft.com/office/drawing/2014/chart" uri="{C3380CC4-5D6E-409C-BE32-E72D297353CC}">
              <c16:uniqueId val="{00000001-DA29-4A17-A997-45677D84E215}"/>
            </c:ext>
          </c:extLst>
        </c:ser>
        <c:ser>
          <c:idx val="2"/>
          <c:order val="1"/>
          <c:tx>
            <c:strRef>
              <c:f>'Fee &amp; Cost Breakdown'!$B$54</c:f>
              <c:strCache>
                <c:ptCount val="1"/>
                <c:pt idx="0">
                  <c:v>UK &amp; Ireland</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Breakdown'!$V$54,'Fee &amp; Cost Breakdown'!$Y$54,'Fee &amp; Cost Breakdown'!$AB$54,'Fee &amp; Cost Breakdown'!$AE$54,'Fee &amp; Cost Breakdown'!$AH$54,'Fee &amp; Cost Breakdown'!$AK$54,'Fee &amp; Cost Breakdown'!$AN$54,'Fee &amp; Cost Breakdown'!$AQ$54)</c:f>
              <c:numCache>
                <c:formatCode>#,##0%;\(#,##0%\)</c:formatCode>
                <c:ptCount val="8"/>
                <c:pt idx="0">
                  <c:v>0.27818403412553322</c:v>
                </c:pt>
                <c:pt idx="1">
                  <c:v>0.28784530386740331</c:v>
                </c:pt>
                <c:pt idx="2">
                  <c:v>0.19621749408983452</c:v>
                </c:pt>
                <c:pt idx="3">
                  <c:v>0.19309778142974529</c:v>
                </c:pt>
                <c:pt idx="4">
                  <c:v>0.1965434083601286</c:v>
                </c:pt>
                <c:pt idx="5">
                  <c:v>0.12296296296296297</c:v>
                </c:pt>
                <c:pt idx="6">
                  <c:v>0.12092534174553103</c:v>
                </c:pt>
                <c:pt idx="7">
                  <c:v>0.20656830080913852</c:v>
                </c:pt>
              </c:numCache>
            </c:numRef>
          </c:val>
          <c:extLst>
            <c:ext xmlns:c16="http://schemas.microsoft.com/office/drawing/2014/chart" uri="{C3380CC4-5D6E-409C-BE32-E72D297353CC}">
              <c16:uniqueId val="{00000002-DA29-4A17-A997-45677D84E215}"/>
            </c:ext>
          </c:extLst>
        </c:ser>
        <c:ser>
          <c:idx val="0"/>
          <c:order val="2"/>
          <c:tx>
            <c:strRef>
              <c:f>'Fee &amp; Cost Breakdown'!$B$52</c:f>
              <c:strCache>
                <c:ptCount val="1"/>
                <c:pt idx="0">
                  <c:v>Australia &amp; NZ</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Breakdown'!$V$52,'Fee &amp; Cost Breakdown'!$Y$52,'Fee &amp; Cost Breakdown'!$AB$52,'Fee &amp; Cost Breakdown'!$AE$52,'Fee &amp; Cost Breakdown'!$AH$52,'Fee &amp; Cost Breakdown'!$AK$52,'Fee &amp; Cost Breakdown'!$AN$52,'Fee &amp; Cost Breakdown'!$AQ$52)</c:f>
              <c:numCache>
                <c:formatCode>#,##0%;\(#,##0%\)</c:formatCode>
                <c:ptCount val="8"/>
                <c:pt idx="0">
                  <c:v>0.26934795856185256</c:v>
                </c:pt>
                <c:pt idx="1">
                  <c:v>0.24309392265193369</c:v>
                </c:pt>
                <c:pt idx="2">
                  <c:v>0.29692671394799053</c:v>
                </c:pt>
                <c:pt idx="3">
                  <c:v>0.2838948233360723</c:v>
                </c:pt>
                <c:pt idx="4">
                  <c:v>0.26688102893890675</c:v>
                </c:pt>
                <c:pt idx="5">
                  <c:v>0.35703703703703704</c:v>
                </c:pt>
                <c:pt idx="6">
                  <c:v>0.41745531019978976</c:v>
                </c:pt>
                <c:pt idx="7">
                  <c:v>0.24559733460257022</c:v>
                </c:pt>
              </c:numCache>
            </c:numRef>
          </c:val>
          <c:extLst>
            <c:ext xmlns:c16="http://schemas.microsoft.com/office/drawing/2014/chart" uri="{C3380CC4-5D6E-409C-BE32-E72D297353CC}">
              <c16:uniqueId val="{00000000-DA29-4A17-A997-45677D84E215}"/>
            </c:ext>
          </c:extLst>
        </c:ser>
        <c:ser>
          <c:idx val="3"/>
          <c:order val="3"/>
          <c:tx>
            <c:strRef>
              <c:f>'Fee &amp; Cost Breakdown'!$B$55</c:f>
              <c:strCache>
                <c:ptCount val="1"/>
                <c:pt idx="0">
                  <c:v>Rest of World</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Breakdown'!$V$5,'Fee &amp; Cost Breakdown'!$Y$5,'Fee &amp; Cost Breakdown'!$AB$5,'Fee &amp; Cost Breakdown'!$AE$5,'Fee &amp; Cost Breakdown'!$AH$5,'Fee &amp; Cost Breakdown'!$AK$5,'Fee &amp; Cost Breakdown'!$AN$5,'Fee &amp; Cost Breakdown'!$AQ$5)</c:f>
              <c:strCache>
                <c:ptCount val="8"/>
                <c:pt idx="0">
                  <c:v>FY15</c:v>
                </c:pt>
                <c:pt idx="1">
                  <c:v>FY16</c:v>
                </c:pt>
                <c:pt idx="2">
                  <c:v>FY17</c:v>
                </c:pt>
                <c:pt idx="3">
                  <c:v>FY18</c:v>
                </c:pt>
                <c:pt idx="4">
                  <c:v>FY19</c:v>
                </c:pt>
                <c:pt idx="5">
                  <c:v>FY20</c:v>
                </c:pt>
                <c:pt idx="6">
                  <c:v>FY21</c:v>
                </c:pt>
                <c:pt idx="7">
                  <c:v>FY22</c:v>
                </c:pt>
              </c:strCache>
            </c:strRef>
          </c:cat>
          <c:val>
            <c:numRef>
              <c:f>('Fee &amp; Cost Breakdown'!$V$55,'Fee &amp; Cost Breakdown'!$Y$55,'Fee &amp; Cost Breakdown'!$AB$55,'Fee &amp; Cost Breakdown'!$AE$55,'Fee &amp; Cost Breakdown'!$AH$55,'Fee &amp; Cost Breakdown'!$AK$55,'Fee &amp; Cost Breakdown'!$AN$55,'Fee &amp; Cost Breakdown'!$AQ$55)</c:f>
              <c:numCache>
                <c:formatCode>#,##0%;\(#,##0%\)</c:formatCode>
                <c:ptCount val="8"/>
                <c:pt idx="0">
                  <c:v>8.9884216940889702E-2</c:v>
                </c:pt>
                <c:pt idx="1">
                  <c:v>0.11988950276243093</c:v>
                </c:pt>
                <c:pt idx="2">
                  <c:v>0.12624113475177304</c:v>
                </c:pt>
                <c:pt idx="3">
                  <c:v>0.16967953985209533</c:v>
                </c:pt>
                <c:pt idx="4">
                  <c:v>0.16961414790996784</c:v>
                </c:pt>
                <c:pt idx="5">
                  <c:v>0.12592592592592591</c:v>
                </c:pt>
                <c:pt idx="6">
                  <c:v>0.13144058885383808</c:v>
                </c:pt>
                <c:pt idx="7">
                  <c:v>0.188005711565921</c:v>
                </c:pt>
              </c:numCache>
            </c:numRef>
          </c:val>
          <c:extLst>
            <c:ext xmlns:c16="http://schemas.microsoft.com/office/drawing/2014/chart" uri="{C3380CC4-5D6E-409C-BE32-E72D297353CC}">
              <c16:uniqueId val="{00000003-DA29-4A17-A997-45677D84E215}"/>
            </c:ext>
          </c:extLst>
        </c:ser>
        <c:dLbls>
          <c:showLegendKey val="0"/>
          <c:showVal val="0"/>
          <c:showCatName val="0"/>
          <c:showSerName val="0"/>
          <c:showPercent val="0"/>
          <c:showBubbleSize val="0"/>
        </c:dLbls>
        <c:gapWidth val="30"/>
        <c:overlap val="100"/>
        <c:axId val="547907512"/>
        <c:axId val="547907184"/>
      </c:barChart>
      <c:catAx>
        <c:axId val="547907512"/>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184"/>
        <c:crosses val="autoZero"/>
        <c:auto val="1"/>
        <c:lblAlgn val="ctr"/>
        <c:lblOffset val="0"/>
        <c:noMultiLvlLbl val="0"/>
      </c:catAx>
      <c:valAx>
        <c:axId val="547907184"/>
        <c:scaling>
          <c:orientation val="minMax"/>
        </c:scaling>
        <c:delete val="1"/>
        <c:axPos val="l"/>
        <c:numFmt formatCode="0%" sourceLinked="1"/>
        <c:majorTickMark val="out"/>
        <c:minorTickMark val="none"/>
        <c:tickLblPos val="nextTo"/>
        <c:crossAx val="547907512"/>
        <c:crosses val="autoZero"/>
        <c:crossBetween val="between"/>
      </c:valAx>
      <c:spPr>
        <a:noFill/>
        <a:ln>
          <a:noFill/>
        </a:ln>
        <a:effectLst/>
      </c:spPr>
    </c:plotArea>
    <c:legend>
      <c:legendPos val="b"/>
      <c:layout>
        <c:manualLayout>
          <c:xMode val="edge"/>
          <c:yMode val="edge"/>
          <c:x val="5.210340136054422E-2"/>
          <c:y val="0.90355779569892469"/>
          <c:w val="0.89579319727891171"/>
          <c:h val="9.075224014336917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94557823129253E-3"/>
          <c:y val="5.6899641577060935E-3"/>
          <c:w val="0.65324126984126984"/>
          <c:h val="0.89229166666666671"/>
        </c:manualLayout>
      </c:layout>
      <c:barChart>
        <c:barDir val="col"/>
        <c:grouping val="percentStacked"/>
        <c:varyColors val="0"/>
        <c:ser>
          <c:idx val="2"/>
          <c:order val="0"/>
          <c:tx>
            <c:strRef>
              <c:f>'Fee &amp; Cost Breakdown'!$B$43</c:f>
              <c:strCache>
                <c:ptCount val="1"/>
                <c:pt idx="0">
                  <c:v>Staff costs</c:v>
                </c:pt>
              </c:strCache>
            </c:strRef>
          </c:tx>
          <c:spPr>
            <a:solidFill>
              <a:schemeClr val="tx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Breakdown'!$V$6,'Fee &amp; Cost Breakdown'!$Y$6,'Fee &amp; Cost Breakdown'!$AB$6,'Fee &amp; Cost Breakdown'!$AE$6,'Fee &amp; Cost Breakdown'!$AH$6,'Fee &amp; Cost Breakdown'!$AK$6,'Fee &amp; Cost Breakdown'!$AN$6,'Fee &amp; Cost Breakdown'!$AQ$6)</c:f>
              <c:strCache>
                <c:ptCount val="8"/>
                <c:pt idx="0">
                  <c:v>FY15</c:v>
                </c:pt>
                <c:pt idx="1">
                  <c:v>FY16</c:v>
                </c:pt>
                <c:pt idx="2">
                  <c:v>FY17</c:v>
                </c:pt>
                <c:pt idx="3">
                  <c:v>FY18</c:v>
                </c:pt>
                <c:pt idx="4">
                  <c:v>FY19</c:v>
                </c:pt>
                <c:pt idx="5">
                  <c:v>FY20</c:v>
                </c:pt>
                <c:pt idx="6">
                  <c:v>FY21</c:v>
                </c:pt>
                <c:pt idx="7">
                  <c:v>FY22</c:v>
                </c:pt>
              </c:strCache>
            </c:strRef>
          </c:cat>
          <c:val>
            <c:numRef>
              <c:f>('Fee &amp; Cost Breakdown'!$V$43,'Fee &amp; Cost Breakdown'!$Y$43,'Fee &amp; Cost Breakdown'!$AB$43,'Fee &amp; Cost Breakdown'!$AE$43,'Fee &amp; Cost Breakdown'!$AH$43,'Fee &amp; Cost Breakdown'!$AK$43,'Fee &amp; Cost Breakdown'!$AN$43,'Fee &amp; Cost Breakdown'!$AQ$43)</c:f>
              <c:numCache>
                <c:formatCode>#,##0%;\(#,##0%\)</c:formatCode>
                <c:ptCount val="8"/>
                <c:pt idx="0">
                  <c:v>0.73421096483919357</c:v>
                </c:pt>
                <c:pt idx="1">
                  <c:v>0.756872715715875</c:v>
                </c:pt>
                <c:pt idx="2">
                  <c:v>0.75763692638944957</c:v>
                </c:pt>
                <c:pt idx="3">
                  <c:v>0.76585483482035199</c:v>
                </c:pt>
                <c:pt idx="4">
                  <c:v>0.76909978431149961</c:v>
                </c:pt>
                <c:pt idx="5">
                  <c:v>0.75220622387366465</c:v>
                </c:pt>
                <c:pt idx="6">
                  <c:v>0.75880923450789795</c:v>
                </c:pt>
                <c:pt idx="7">
                  <c:v>0.78270192994996424</c:v>
                </c:pt>
              </c:numCache>
            </c:numRef>
          </c:val>
          <c:extLst>
            <c:ext xmlns:c16="http://schemas.microsoft.com/office/drawing/2014/chart" uri="{C3380CC4-5D6E-409C-BE32-E72D297353CC}">
              <c16:uniqueId val="{00000000-A4E7-4890-A32A-35381705C07E}"/>
            </c:ext>
          </c:extLst>
        </c:ser>
        <c:ser>
          <c:idx val="0"/>
          <c:order val="1"/>
          <c:tx>
            <c:strRef>
              <c:f>'Fee &amp; Cost Breakdown'!$B$44</c:f>
              <c:strCache>
                <c:ptCount val="1"/>
                <c:pt idx="0">
                  <c:v>Operating lease rentals</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Breakdown'!$V$6,'Fee &amp; Cost Breakdown'!$Y$6,'Fee &amp; Cost Breakdown'!$AB$6,'Fee &amp; Cost Breakdown'!$AE$6,'Fee &amp; Cost Breakdown'!$AH$6,'Fee &amp; Cost Breakdown'!$AK$6,'Fee &amp; Cost Breakdown'!$AN$6,'Fee &amp; Cost Breakdown'!$AQ$6)</c:f>
              <c:strCache>
                <c:ptCount val="8"/>
                <c:pt idx="0">
                  <c:v>FY15</c:v>
                </c:pt>
                <c:pt idx="1">
                  <c:v>FY16</c:v>
                </c:pt>
                <c:pt idx="2">
                  <c:v>FY17</c:v>
                </c:pt>
                <c:pt idx="3">
                  <c:v>FY18</c:v>
                </c:pt>
                <c:pt idx="4">
                  <c:v>FY19</c:v>
                </c:pt>
                <c:pt idx="5">
                  <c:v>FY20</c:v>
                </c:pt>
                <c:pt idx="6">
                  <c:v>FY21</c:v>
                </c:pt>
                <c:pt idx="7">
                  <c:v>FY22</c:v>
                </c:pt>
              </c:strCache>
            </c:strRef>
          </c:cat>
          <c:val>
            <c:numRef>
              <c:f>('Fee &amp; Cost Breakdown'!$V$44,'Fee &amp; Cost Breakdown'!$Y$44,'Fee &amp; Cost Breakdown'!$AB$44,'Fee &amp; Cost Breakdown'!$AE$44,'Fee &amp; Cost Breakdown'!$AH$44,'Fee &amp; Cost Breakdown'!$AK$44,'Fee &amp; Cost Breakdown'!$AN$44,'Fee &amp; Cost Breakdown'!$AQ$44)</c:f>
              <c:numCache>
                <c:formatCode>#,##0%;\(#,##0%\)</c:formatCode>
                <c:ptCount val="8"/>
                <c:pt idx="0">
                  <c:v>5.1324779203466099E-2</c:v>
                </c:pt>
                <c:pt idx="1">
                  <c:v>5.4028285396472288E-2</c:v>
                </c:pt>
                <c:pt idx="2">
                  <c:v>5.6654555241555646E-2</c:v>
                </c:pt>
                <c:pt idx="3">
                  <c:v>5.4617795997106332E-2</c:v>
                </c:pt>
                <c:pt idx="4">
                  <c:v>5.6533091156771485E-2</c:v>
                </c:pt>
              </c:numCache>
            </c:numRef>
          </c:val>
          <c:extLst>
            <c:ext xmlns:c16="http://schemas.microsoft.com/office/drawing/2014/chart" uri="{C3380CC4-5D6E-409C-BE32-E72D297353CC}">
              <c16:uniqueId val="{00000001-A4E7-4890-A32A-35381705C07E}"/>
            </c:ext>
          </c:extLst>
        </c:ser>
        <c:ser>
          <c:idx val="5"/>
          <c:order val="2"/>
          <c:tx>
            <c:strRef>
              <c:f>'Fee &amp; Cost Breakdown'!$A$45</c:f>
              <c:strCache>
                <c:ptCount val="1"/>
                <c:pt idx="0">
                  <c:v>D &amp; 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Breakdown'!$V$6,'Fee &amp; Cost Breakdown'!$Y$6,'Fee &amp; Cost Breakdown'!$AB$6,'Fee &amp; Cost Breakdown'!$AE$6,'Fee &amp; Cost Breakdown'!$AH$6,'Fee &amp; Cost Breakdown'!$AK$6,'Fee &amp; Cost Breakdown'!$AN$6,'Fee &amp; Cost Breakdown'!$AQ$6)</c:f>
              <c:strCache>
                <c:ptCount val="8"/>
                <c:pt idx="0">
                  <c:v>FY15</c:v>
                </c:pt>
                <c:pt idx="1">
                  <c:v>FY16</c:v>
                </c:pt>
                <c:pt idx="2">
                  <c:v>FY17</c:v>
                </c:pt>
                <c:pt idx="3">
                  <c:v>FY18</c:v>
                </c:pt>
                <c:pt idx="4">
                  <c:v>FY19</c:v>
                </c:pt>
                <c:pt idx="5">
                  <c:v>FY20</c:v>
                </c:pt>
                <c:pt idx="6">
                  <c:v>FY21</c:v>
                </c:pt>
                <c:pt idx="7">
                  <c:v>FY22</c:v>
                </c:pt>
              </c:strCache>
            </c:strRef>
          </c:cat>
          <c:val>
            <c:numRef>
              <c:f>('Fee &amp; Cost Breakdown'!$V$45,'Fee &amp; Cost Breakdown'!$Y$45,'Fee &amp; Cost Breakdown'!$AB$45,'Fee &amp; Cost Breakdown'!$AE$45,'Fee &amp; Cost Breakdown'!$AH$45,'Fee &amp; Cost Breakdown'!$AK$45,'Fee &amp; Cost Breakdown'!$AN$45,'Fee &amp; Cost Breakdown'!$AQ$45)</c:f>
              <c:numCache>
                <c:formatCode>#,##0%;\(#,##0%\)</c:formatCode>
                <c:ptCount val="8"/>
                <c:pt idx="0">
                  <c:v>3.7327112147975343E-2</c:v>
                </c:pt>
                <c:pt idx="1">
                  <c:v>3.4800572064198322E-2</c:v>
                </c:pt>
                <c:pt idx="2">
                  <c:v>2.9201991656573816E-2</c:v>
                </c:pt>
                <c:pt idx="3">
                  <c:v>1.8688208343380756E-2</c:v>
                </c:pt>
                <c:pt idx="4">
                  <c:v>1.7255080031785674E-2</c:v>
                </c:pt>
                <c:pt idx="5">
                  <c:v>7.3037621922898283E-2</c:v>
                </c:pt>
                <c:pt idx="6">
                  <c:v>8.2624544349939252E-2</c:v>
                </c:pt>
                <c:pt idx="7">
                  <c:v>6.5454916777289887E-2</c:v>
                </c:pt>
              </c:numCache>
            </c:numRef>
          </c:val>
          <c:extLst>
            <c:ext xmlns:c16="http://schemas.microsoft.com/office/drawing/2014/chart" uri="{C3380CC4-5D6E-409C-BE32-E72D297353CC}">
              <c16:uniqueId val="{00000003-77EC-4AA1-BECF-1179D3B5B20C}"/>
            </c:ext>
          </c:extLst>
        </c:ser>
        <c:ser>
          <c:idx val="4"/>
          <c:order val="3"/>
          <c:tx>
            <c:strRef>
              <c:f>'Fee &amp; Cost Breakdown'!$B$46</c:f>
              <c:strCache>
                <c:ptCount val="1"/>
                <c:pt idx="0">
                  <c:v>Other external charges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('Fee &amp; Cost Breakdown'!$V$6,'Fee &amp; Cost Breakdown'!$Y$6,'Fee &amp; Cost Breakdown'!$AB$6,'Fee &amp; Cost Breakdown'!$AE$6,'Fee &amp; Cost Breakdown'!$AH$6,'Fee &amp; Cost Breakdown'!$AK$6,'Fee &amp; Cost Breakdown'!$AN$6,'Fee &amp; Cost Breakdown'!$AQ$6)</c:f>
              <c:strCache>
                <c:ptCount val="8"/>
                <c:pt idx="0">
                  <c:v>FY15</c:v>
                </c:pt>
                <c:pt idx="1">
                  <c:v>FY16</c:v>
                </c:pt>
                <c:pt idx="2">
                  <c:v>FY17</c:v>
                </c:pt>
                <c:pt idx="3">
                  <c:v>FY18</c:v>
                </c:pt>
                <c:pt idx="4">
                  <c:v>FY19</c:v>
                </c:pt>
                <c:pt idx="5">
                  <c:v>FY20</c:v>
                </c:pt>
                <c:pt idx="6">
                  <c:v>FY21</c:v>
                </c:pt>
                <c:pt idx="7">
                  <c:v>FY22</c:v>
                </c:pt>
              </c:strCache>
            </c:strRef>
          </c:cat>
          <c:val>
            <c:numRef>
              <c:f>('Fee &amp; Cost Breakdown'!$V$46,'Fee &amp; Cost Breakdown'!$Y$46,'Fee &amp; Cost Breakdown'!$AB$46,'Fee &amp; Cost Breakdown'!$AE$46,'Fee &amp; Cost Breakdown'!$AH$46,'Fee &amp; Cost Breakdown'!$AK$46,'Fee &amp; Cost Breakdown'!$AN$46,'Fee &amp; Cost Breakdown'!$AQ$46)</c:f>
              <c:numCache>
                <c:formatCode>#,##0%;\(#,##0%\)</c:formatCode>
                <c:ptCount val="8"/>
                <c:pt idx="0">
                  <c:v>0.17713714380936496</c:v>
                </c:pt>
                <c:pt idx="1">
                  <c:v>0.1542984268234544</c:v>
                </c:pt>
                <c:pt idx="2">
                  <c:v>0.15650652671242105</c:v>
                </c:pt>
                <c:pt idx="3">
                  <c:v>0.16083916083916083</c:v>
                </c:pt>
                <c:pt idx="4">
                  <c:v>0.1571120444999432</c:v>
                </c:pt>
                <c:pt idx="5">
                  <c:v>0.17475615420343704</c:v>
                </c:pt>
                <c:pt idx="6">
                  <c:v>0.15856622114216279</c:v>
                </c:pt>
                <c:pt idx="7">
                  <c:v>0.15184315327274589</c:v>
                </c:pt>
              </c:numCache>
            </c:numRef>
          </c:val>
          <c:extLst>
            <c:ext xmlns:c16="http://schemas.microsoft.com/office/drawing/2014/chart" uri="{C3380CC4-5D6E-409C-BE32-E72D297353CC}">
              <c16:uniqueId val="{00000002-77EC-4AA1-BECF-1179D3B5B20C}"/>
            </c:ext>
          </c:extLst>
        </c:ser>
        <c:dLbls>
          <c:showLegendKey val="0"/>
          <c:showVal val="0"/>
          <c:showCatName val="0"/>
          <c:showSerName val="0"/>
          <c:showPercent val="0"/>
          <c:showBubbleSize val="0"/>
        </c:dLbls>
        <c:gapWidth val="30"/>
        <c:overlap val="100"/>
        <c:axId val="547907512"/>
        <c:axId val="547907184"/>
      </c:barChart>
      <c:catAx>
        <c:axId val="54790751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184"/>
        <c:crosses val="autoZero"/>
        <c:auto val="1"/>
        <c:lblAlgn val="ctr"/>
        <c:lblOffset val="100"/>
        <c:noMultiLvlLbl val="0"/>
      </c:catAx>
      <c:valAx>
        <c:axId val="547907184"/>
        <c:scaling>
          <c:orientation val="minMax"/>
          <c:min val="0.60000000000000009"/>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512"/>
        <c:crosses val="autoZero"/>
        <c:crossBetween val="between"/>
      </c:valAx>
      <c:spPr>
        <a:noFill/>
        <a:ln>
          <a:noFill/>
        </a:ln>
        <a:effectLst/>
      </c:spPr>
    </c:plotArea>
    <c:legend>
      <c:legendPos val="r"/>
      <c:layout>
        <c:manualLayout>
          <c:xMode val="edge"/>
          <c:yMode val="edge"/>
          <c:x val="0.76644104308390015"/>
          <c:y val="0.23543727598566308"/>
          <c:w val="0.23067913832199544"/>
          <c:h val="0.5291249999999999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519274376417234E-2"/>
          <c:y val="5.6899641577060935E-3"/>
          <c:w val="0.97696145124716549"/>
          <c:h val="0.80125224014336915"/>
        </c:manualLayout>
      </c:layout>
      <c:barChart>
        <c:barDir val="col"/>
        <c:grouping val="stacked"/>
        <c:varyColors val="0"/>
        <c:ser>
          <c:idx val="1"/>
          <c:order val="0"/>
          <c:tx>
            <c:strRef>
              <c:f>Database!$C$265</c:f>
              <c:strCache>
                <c:ptCount val="1"/>
                <c:pt idx="0">
                  <c:v>Germany</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c:f>
              <c:strCache>
                <c:ptCount val="7"/>
                <c:pt idx="0">
                  <c:v>FY15</c:v>
                </c:pt>
                <c:pt idx="1">
                  <c:v>FY16</c:v>
                </c:pt>
                <c:pt idx="2">
                  <c:v>FY17</c:v>
                </c:pt>
                <c:pt idx="3">
                  <c:v>FY18</c:v>
                </c:pt>
                <c:pt idx="4">
                  <c:v>FY19</c:v>
                </c:pt>
                <c:pt idx="5">
                  <c:v>FY20</c:v>
                </c:pt>
                <c:pt idx="6">
                  <c:v>FY21</c:v>
                </c:pt>
              </c:strCache>
            </c:strRef>
          </c:cat>
          <c:val>
            <c:numRef>
              <c:f>(Database!$V$265,Database!$Y$265,Database!$AB$265,Database!$AE$265,Database!$AH$265,Database!$AK$265,Database!$AN$265)</c:f>
              <c:numCache>
                <c:formatCode>#,##0;\(#,##0\)</c:formatCode>
                <c:ptCount val="7"/>
                <c:pt idx="0">
                  <c:v>942</c:v>
                </c:pt>
                <c:pt idx="1">
                  <c:v>1213</c:v>
                </c:pt>
                <c:pt idx="2">
                  <c:v>1503</c:v>
                </c:pt>
                <c:pt idx="3">
                  <c:v>1700</c:v>
                </c:pt>
                <c:pt idx="4">
                  <c:v>1801</c:v>
                </c:pt>
                <c:pt idx="5">
                  <c:v>1560</c:v>
                </c:pt>
                <c:pt idx="6">
                  <c:v>1620</c:v>
                </c:pt>
              </c:numCache>
            </c:numRef>
          </c:val>
          <c:extLst>
            <c:ext xmlns:c16="http://schemas.microsoft.com/office/drawing/2014/chart" uri="{C3380CC4-5D6E-409C-BE32-E72D297353CC}">
              <c16:uniqueId val="{00000001-DA29-4A17-A997-45677D84E215}"/>
            </c:ext>
          </c:extLst>
        </c:ser>
        <c:ser>
          <c:idx val="2"/>
          <c:order val="1"/>
          <c:tx>
            <c:strRef>
              <c:f>Database!$C$267</c:f>
              <c:strCache>
                <c:ptCount val="1"/>
                <c:pt idx="0">
                  <c:v>UK &amp; Ireland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c:f>
              <c:strCache>
                <c:ptCount val="7"/>
                <c:pt idx="0">
                  <c:v>FY15</c:v>
                </c:pt>
                <c:pt idx="1">
                  <c:v>FY16</c:v>
                </c:pt>
                <c:pt idx="2">
                  <c:v>FY17</c:v>
                </c:pt>
                <c:pt idx="3">
                  <c:v>FY18</c:v>
                </c:pt>
                <c:pt idx="4">
                  <c:v>FY19</c:v>
                </c:pt>
                <c:pt idx="5">
                  <c:v>FY20</c:v>
                </c:pt>
                <c:pt idx="6">
                  <c:v>FY21</c:v>
                </c:pt>
              </c:strCache>
            </c:strRef>
          </c:cat>
          <c:val>
            <c:numRef>
              <c:f>(Database!$V$267,Database!$Y$267,Database!$AB$267,Database!$AE$267,Database!$AH$267,Database!$AK$267,Database!$AN$267)</c:f>
              <c:numCache>
                <c:formatCode>#,##0;\(#,##0\)</c:formatCode>
                <c:ptCount val="7"/>
                <c:pt idx="0">
                  <c:v>2203</c:v>
                </c:pt>
                <c:pt idx="1">
                  <c:v>2024</c:v>
                </c:pt>
                <c:pt idx="2">
                  <c:v>1948</c:v>
                </c:pt>
                <c:pt idx="3">
                  <c:v>1917</c:v>
                </c:pt>
                <c:pt idx="4">
                  <c:v>1960</c:v>
                </c:pt>
                <c:pt idx="5">
                  <c:v>1840</c:v>
                </c:pt>
                <c:pt idx="6">
                  <c:v>1759</c:v>
                </c:pt>
              </c:numCache>
            </c:numRef>
          </c:val>
          <c:extLst>
            <c:ext xmlns:c16="http://schemas.microsoft.com/office/drawing/2014/chart" uri="{C3380CC4-5D6E-409C-BE32-E72D297353CC}">
              <c16:uniqueId val="{00000002-DA29-4A17-A997-45677D84E215}"/>
            </c:ext>
          </c:extLst>
        </c:ser>
        <c:ser>
          <c:idx val="0"/>
          <c:order val="2"/>
          <c:tx>
            <c:strRef>
              <c:f>Database!$C$263</c:f>
              <c:strCache>
                <c:ptCount val="1"/>
                <c:pt idx="0">
                  <c:v>Australia &amp; NZ</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c:f>
              <c:strCache>
                <c:ptCount val="7"/>
                <c:pt idx="0">
                  <c:v>FY15</c:v>
                </c:pt>
                <c:pt idx="1">
                  <c:v>FY16</c:v>
                </c:pt>
                <c:pt idx="2">
                  <c:v>FY17</c:v>
                </c:pt>
                <c:pt idx="3">
                  <c:v>FY18</c:v>
                </c:pt>
                <c:pt idx="4">
                  <c:v>FY19</c:v>
                </c:pt>
                <c:pt idx="5">
                  <c:v>FY20</c:v>
                </c:pt>
                <c:pt idx="6">
                  <c:v>FY21</c:v>
                </c:pt>
              </c:strCache>
            </c:strRef>
          </c:cat>
          <c:val>
            <c:numRef>
              <c:f>(Database!$V$263,Database!$Y$263,Database!$AB$263,Database!$AE$263,Database!$AH$263,Database!$AK$263,Database!$AN$263)</c:f>
              <c:numCache>
                <c:formatCode>#,##0;\(#,##0\)</c:formatCode>
                <c:ptCount val="7"/>
                <c:pt idx="0">
                  <c:v>773</c:v>
                </c:pt>
                <c:pt idx="1">
                  <c:v>812</c:v>
                </c:pt>
                <c:pt idx="2">
                  <c:v>911</c:v>
                </c:pt>
                <c:pt idx="3">
                  <c:v>1000</c:v>
                </c:pt>
                <c:pt idx="4">
                  <c:v>1008</c:v>
                </c:pt>
                <c:pt idx="5">
                  <c:v>811</c:v>
                </c:pt>
                <c:pt idx="6">
                  <c:v>945</c:v>
                </c:pt>
              </c:numCache>
            </c:numRef>
          </c:val>
          <c:extLst>
            <c:ext xmlns:c16="http://schemas.microsoft.com/office/drawing/2014/chart" uri="{C3380CC4-5D6E-409C-BE32-E72D297353CC}">
              <c16:uniqueId val="{00000000-DA29-4A17-A997-45677D84E215}"/>
            </c:ext>
          </c:extLst>
        </c:ser>
        <c:ser>
          <c:idx val="3"/>
          <c:order val="3"/>
          <c:tx>
            <c:strRef>
              <c:f>Database!$C$269</c:f>
              <c:strCache>
                <c:ptCount val="1"/>
                <c:pt idx="0">
                  <c:v>RoW</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c:f>
              <c:strCache>
                <c:ptCount val="7"/>
                <c:pt idx="0">
                  <c:v>FY15</c:v>
                </c:pt>
                <c:pt idx="1">
                  <c:v>FY16</c:v>
                </c:pt>
                <c:pt idx="2">
                  <c:v>FY17</c:v>
                </c:pt>
                <c:pt idx="3">
                  <c:v>FY18</c:v>
                </c:pt>
                <c:pt idx="4">
                  <c:v>FY19</c:v>
                </c:pt>
                <c:pt idx="5">
                  <c:v>FY20</c:v>
                </c:pt>
                <c:pt idx="6">
                  <c:v>FY21</c:v>
                </c:pt>
              </c:strCache>
            </c:strRef>
          </c:cat>
          <c:val>
            <c:numRef>
              <c:f>(Database!$V$269,Database!$Y$269,Database!$AB$269,Database!$AE$269,Database!$AH$269,Database!$AK$269,Database!$AN$269)</c:f>
              <c:numCache>
                <c:formatCode>#,##0;\(#,##0\)</c:formatCode>
                <c:ptCount val="7"/>
                <c:pt idx="0">
                  <c:v>2051</c:v>
                </c:pt>
                <c:pt idx="1">
                  <c:v>2219</c:v>
                </c:pt>
                <c:pt idx="2">
                  <c:v>2522</c:v>
                </c:pt>
                <c:pt idx="3">
                  <c:v>2847</c:v>
                </c:pt>
                <c:pt idx="4">
                  <c:v>3013</c:v>
                </c:pt>
                <c:pt idx="5">
                  <c:v>2689</c:v>
                </c:pt>
                <c:pt idx="6">
                  <c:v>2866</c:v>
                </c:pt>
              </c:numCache>
            </c:numRef>
          </c:val>
          <c:extLst>
            <c:ext xmlns:c16="http://schemas.microsoft.com/office/drawing/2014/chart" uri="{C3380CC4-5D6E-409C-BE32-E72D297353CC}">
              <c16:uniqueId val="{00000003-DA29-4A17-A997-45677D84E215}"/>
            </c:ext>
          </c:extLst>
        </c:ser>
        <c:ser>
          <c:idx val="4"/>
          <c:order val="4"/>
          <c:tx>
            <c:strRef>
              <c:f>Database!$C$259</c:f>
              <c:strCache>
                <c:ptCount val="1"/>
                <c:pt idx="0">
                  <c:v>Group</c:v>
                </c:pt>
              </c:strCache>
            </c:strRef>
          </c:tx>
          <c:spPr>
            <a:solidFill>
              <a:schemeClr val="accent5"/>
            </a:solidFill>
            <a:ln>
              <a:noFill/>
            </a:ln>
            <a:effectLst/>
          </c:spPr>
          <c:invertIfNegative val="0"/>
          <c:dLbls>
            <c:dLbl>
              <c:idx val="0"/>
              <c:tx>
                <c:rich>
                  <a:bodyPr/>
                  <a:lstStyle/>
                  <a:p>
                    <a:fld id="{AC821C40-E46F-454D-8999-66E937C1A937}"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A29-4A17-A997-45677D84E215}"/>
                </c:ext>
              </c:extLst>
            </c:dLbl>
            <c:dLbl>
              <c:idx val="1"/>
              <c:tx>
                <c:rich>
                  <a:bodyPr/>
                  <a:lstStyle/>
                  <a:p>
                    <a:fld id="{63971417-51C9-4ED4-BDFC-1461B058B60B}"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1085-4FB0-9BCA-FBE450D537D7}"/>
                </c:ext>
              </c:extLst>
            </c:dLbl>
            <c:dLbl>
              <c:idx val="2"/>
              <c:tx>
                <c:rich>
                  <a:bodyPr/>
                  <a:lstStyle/>
                  <a:p>
                    <a:fld id="{F1392912-2C42-4DAC-AD77-CFD58D136CA5}"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085-4FB0-9BCA-FBE450D537D7}"/>
                </c:ext>
              </c:extLst>
            </c:dLbl>
            <c:dLbl>
              <c:idx val="3"/>
              <c:tx>
                <c:rich>
                  <a:bodyPr/>
                  <a:lstStyle/>
                  <a:p>
                    <a:fld id="{F902D34E-FC7D-4186-BB42-D9A0B483DCA6}"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085-4FB0-9BCA-FBE450D537D7}"/>
                </c:ext>
              </c:extLst>
            </c:dLbl>
            <c:dLbl>
              <c:idx val="4"/>
              <c:tx>
                <c:rich>
                  <a:bodyPr/>
                  <a:lstStyle/>
                  <a:p>
                    <a:fld id="{28AD4812-B1E9-441A-967E-0DA5DE493D5E}"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085-4FB0-9BCA-FBE450D537D7}"/>
                </c:ext>
              </c:extLst>
            </c:dLbl>
            <c:dLbl>
              <c:idx val="5"/>
              <c:tx>
                <c:rich>
                  <a:bodyPr/>
                  <a:lstStyle/>
                  <a:p>
                    <a:fld id="{A571E299-783D-46AF-96F5-9E32A528DED4}"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42BB-4E52-AE5D-2835C54E2DA4}"/>
                </c:ext>
              </c:extLst>
            </c:dLbl>
            <c:dLbl>
              <c:idx val="6"/>
              <c:tx>
                <c:rich>
                  <a:bodyPr/>
                  <a:lstStyle/>
                  <a:p>
                    <a:fld id="{44D2CC77-1E2B-4CC2-8358-4F24588968C7}" type="CELLRANGE">
                      <a:rPr lang="en-GB"/>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833-44DB-AE6F-111DBA57DB2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(Database!$V$5,Database!$Y$5,Database!$AB$5,Database!$AE$5,Database!$AH$5,Database!$AK$5,Database!$AN$5)</c:f>
              <c:strCache>
                <c:ptCount val="7"/>
                <c:pt idx="0">
                  <c:v>FY15</c:v>
                </c:pt>
                <c:pt idx="1">
                  <c:v>FY16</c:v>
                </c:pt>
                <c:pt idx="2">
                  <c:v>FY17</c:v>
                </c:pt>
                <c:pt idx="3">
                  <c:v>FY18</c:v>
                </c:pt>
                <c:pt idx="4">
                  <c:v>FY19</c:v>
                </c:pt>
                <c:pt idx="5">
                  <c:v>FY20</c:v>
                </c:pt>
                <c:pt idx="6">
                  <c:v>FY21</c:v>
                </c:pt>
              </c:strCache>
            </c:strRef>
          </c:cat>
          <c:val>
            <c:numRef>
              <c:f>(Database!$V$262,Database!$Y$262,Database!$AB$262,Database!$AE$262,Database!$AH$262,Database!$AK$262,Database!$AN$262)</c:f>
              <c:numCache>
                <c:formatCode>#,##0;\(#,##0\)</c:formatCode>
                <c:ptCount val="7"/>
                <c:pt idx="0">
                  <c:v>0</c:v>
                </c:pt>
                <c:pt idx="1">
                  <c:v>0</c:v>
                </c:pt>
                <c:pt idx="2">
                  <c:v>0</c:v>
                </c:pt>
                <c:pt idx="3">
                  <c:v>0</c:v>
                </c:pt>
                <c:pt idx="4">
                  <c:v>0</c:v>
                </c:pt>
                <c:pt idx="5">
                  <c:v>0</c:v>
                </c:pt>
                <c:pt idx="6">
                  <c:v>0</c:v>
                </c:pt>
              </c:numCache>
            </c:numRef>
          </c:val>
          <c:extLst>
            <c:ext xmlns:c15="http://schemas.microsoft.com/office/drawing/2012/chart" uri="{02D57815-91ED-43cb-92C2-25804820EDAC}">
              <c15:datalabelsRange>
                <c15:f>(Database!$V$259,Database!$Y$259,Database!$AB$259,Database!$AE$259,Database!$AH$259,Database!$AK$259,Database!$AN$259)</c15:f>
                <c15:dlblRangeCache>
                  <c:ptCount val="7"/>
                  <c:pt idx="0">
                    <c:v>5,969</c:v>
                  </c:pt>
                  <c:pt idx="1">
                    <c:v>6,268</c:v>
                  </c:pt>
                  <c:pt idx="2">
                    <c:v>6,884</c:v>
                  </c:pt>
                  <c:pt idx="3">
                    <c:v>7,464</c:v>
                  </c:pt>
                  <c:pt idx="4">
                    <c:v>7,782</c:v>
                  </c:pt>
                  <c:pt idx="5">
                    <c:v>6,900</c:v>
                  </c:pt>
                  <c:pt idx="6">
                    <c:v>7,190</c:v>
                  </c:pt>
                </c15:dlblRangeCache>
              </c15:datalabelsRange>
            </c:ext>
            <c:ext xmlns:c16="http://schemas.microsoft.com/office/drawing/2014/chart" uri="{C3380CC4-5D6E-409C-BE32-E72D297353CC}">
              <c16:uniqueId val="{00000004-DA29-4A17-A997-45677D84E215}"/>
            </c:ext>
          </c:extLst>
        </c:ser>
        <c:dLbls>
          <c:showLegendKey val="0"/>
          <c:showVal val="0"/>
          <c:showCatName val="0"/>
          <c:showSerName val="0"/>
          <c:showPercent val="0"/>
          <c:showBubbleSize val="0"/>
        </c:dLbls>
        <c:gapWidth val="30"/>
        <c:overlap val="100"/>
        <c:axId val="547907512"/>
        <c:axId val="547907184"/>
      </c:barChart>
      <c:catAx>
        <c:axId val="547907512"/>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7907184"/>
        <c:crosses val="autoZero"/>
        <c:auto val="1"/>
        <c:lblAlgn val="ctr"/>
        <c:lblOffset val="0"/>
        <c:noMultiLvlLbl val="0"/>
      </c:catAx>
      <c:valAx>
        <c:axId val="547907184"/>
        <c:scaling>
          <c:orientation val="minMax"/>
        </c:scaling>
        <c:delete val="1"/>
        <c:axPos val="l"/>
        <c:numFmt formatCode="#,##0;\(#,##0\)" sourceLinked="1"/>
        <c:majorTickMark val="out"/>
        <c:minorTickMark val="none"/>
        <c:tickLblPos val="nextTo"/>
        <c:crossAx val="547907512"/>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croll" dx="22" fmlaLink="$AQ$41" horiz="1" max="90" page="10" val="40"/>
</file>

<file path=xl/ctrlProps/ctrlProp2.xml><?xml version="1.0" encoding="utf-8"?>
<formControlPr xmlns="http://schemas.microsoft.com/office/spreadsheetml/2009/9/main" objectType="Scroll" dx="22" fmlaLink="$AQ$42" horiz="1" max="160" page="10" val="100"/>
</file>

<file path=xl/ctrlProps/ctrlProp3.xml><?xml version="1.0" encoding="utf-8"?>
<formControlPr xmlns="http://schemas.microsoft.com/office/spreadsheetml/2009/9/main" objectType="Scroll" dx="22" fmlaLink="$AQ$43" horiz="1" max="50" page="10" val="10"/>
</file>

<file path=xl/ctrlProps/ctrlProp4.xml><?xml version="1.0" encoding="utf-8"?>
<formControlPr xmlns="http://schemas.microsoft.com/office/spreadsheetml/2009/9/main" objectType="Scroll" dx="22" fmlaLink="$AQ$44" horiz="1" max="110" page="10" val="60"/>
</file>

<file path=xl/ctrlProps/ctrlProp5.xml><?xml version="1.0" encoding="utf-8"?>
<formControlPr xmlns="http://schemas.microsoft.com/office/spreadsheetml/2009/9/main" objectType="Scroll" dx="22" fmlaLink="$AQ$48" horiz="1" max="600" page="10" val="340"/>
</file>

<file path=xl/ctrlProps/ctrlProp6.xml><?xml version="1.0" encoding="utf-8"?>
<formControlPr xmlns="http://schemas.microsoft.com/office/spreadsheetml/2009/9/main" objectType="Scroll" dx="22" fmlaLink="$AQ$49" horiz="1" max="600" page="10" val="365"/>
</file>

<file path=xl/ctrlProps/ctrlProp7.xml><?xml version="1.0" encoding="utf-8"?>
<formControlPr xmlns="http://schemas.microsoft.com/office/spreadsheetml/2009/9/main" objectType="Scroll" dx="22" fmlaLink="$AQ$50" horiz="1" max="600" page="10" val="150"/>
</file>

<file path=xl/ctrlProps/ctrlProp8.xml><?xml version="1.0" encoding="utf-8"?>
<formControlPr xmlns="http://schemas.microsoft.com/office/spreadsheetml/2009/9/main" objectType="Scroll" dx="22" fmlaLink="$AQ$51" horiz="1" max="250" page="10" val="168"/>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image" Target="../media/image2.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image" Target="../media/image3.emf"/><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editAs="oneCell">
    <xdr:from>
      <xdr:col>1</xdr:col>
      <xdr:colOff>33615</xdr:colOff>
      <xdr:row>0</xdr:row>
      <xdr:rowOff>78439</xdr:rowOff>
    </xdr:from>
    <xdr:to>
      <xdr:col>1</xdr:col>
      <xdr:colOff>3096790</xdr:colOff>
      <xdr:row>2</xdr:row>
      <xdr:rowOff>173637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212909" y="78439"/>
          <a:ext cx="3060000" cy="453786"/>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0.40696</cdr:x>
      <cdr:y>0.93495</cdr:y>
    </cdr:from>
    <cdr:to>
      <cdr:x>0.53055</cdr:x>
      <cdr:y>0.98021</cdr:y>
    </cdr:to>
    <cdr:sp macro="" textlink="">
      <cdr:nvSpPr>
        <cdr:cNvPr id="2" name="TextBox 1">
          <a:extLst xmlns:a="http://schemas.openxmlformats.org/drawingml/2006/main">
            <a:ext uri="{FF2B5EF4-FFF2-40B4-BE49-F238E27FC236}">
              <a16:creationId xmlns:a16="http://schemas.microsoft.com/office/drawing/2014/main" id="{102E9E70-FF9D-48DE-B289-B3D7745885CB}"/>
            </a:ext>
          </a:extLst>
        </cdr:cNvPr>
        <cdr:cNvSpPr txBox="1"/>
      </cdr:nvSpPr>
      <cdr:spPr>
        <a:xfrm xmlns:a="http://schemas.openxmlformats.org/drawingml/2006/main">
          <a:off x="1296828" y="2534450"/>
          <a:ext cx="393836" cy="12269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tx2"/>
              </a:solidFill>
              <a:latin typeface="Arial" panose="020B0604020202020204" pitchFamily="34" charset="0"/>
              <a:cs typeface="Arial" panose="020B0604020202020204" pitchFamily="34" charset="0"/>
            </a:rPr>
            <a:t>LOWER</a:t>
          </a:r>
        </a:p>
      </cdr:txBody>
    </cdr:sp>
  </cdr:relSizeAnchor>
  <cdr:relSizeAnchor xmlns:cdr="http://schemas.openxmlformats.org/drawingml/2006/chartDrawing">
    <cdr:from>
      <cdr:x>0.6094</cdr:x>
      <cdr:y>0.93495</cdr:y>
    </cdr:from>
    <cdr:to>
      <cdr:x>0.67682</cdr:x>
      <cdr:y>0.98021</cdr:y>
    </cdr:to>
    <cdr:sp macro="" textlink="">
      <cdr:nvSpPr>
        <cdr:cNvPr id="3" name="TextBox 2">
          <a:extLst xmlns:a="http://schemas.openxmlformats.org/drawingml/2006/main">
            <a:ext uri="{FF2B5EF4-FFF2-40B4-BE49-F238E27FC236}">
              <a16:creationId xmlns:a16="http://schemas.microsoft.com/office/drawing/2014/main" id="{870E874D-6CE1-44E2-B58C-015EA6F1E8E0}"/>
            </a:ext>
          </a:extLst>
        </cdr:cNvPr>
        <cdr:cNvSpPr txBox="1"/>
      </cdr:nvSpPr>
      <cdr:spPr>
        <a:xfrm xmlns:a="http://schemas.openxmlformats.org/drawingml/2006/main">
          <a:off x="1941927" y="2534450"/>
          <a:ext cx="214842" cy="12269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accent2"/>
              </a:solidFill>
              <a:latin typeface="Arial" panose="020B0604020202020204" pitchFamily="34" charset="0"/>
              <a:cs typeface="Arial" panose="020B0604020202020204" pitchFamily="34" charset="0"/>
            </a:rPr>
            <a:t>MID</a:t>
          </a:r>
        </a:p>
      </cdr:txBody>
    </cdr:sp>
  </cdr:relSizeAnchor>
  <cdr:relSizeAnchor xmlns:cdr="http://schemas.openxmlformats.org/drawingml/2006/chartDrawing">
    <cdr:from>
      <cdr:x>0.76997</cdr:x>
      <cdr:y>0.93495</cdr:y>
    </cdr:from>
    <cdr:to>
      <cdr:x>0.89356</cdr:x>
      <cdr:y>0.98021</cdr:y>
    </cdr:to>
    <cdr:sp macro="" textlink="">
      <cdr:nvSpPr>
        <cdr:cNvPr id="4" name="TextBox 3">
          <a:extLst xmlns:a="http://schemas.openxmlformats.org/drawingml/2006/main">
            <a:ext uri="{FF2B5EF4-FFF2-40B4-BE49-F238E27FC236}">
              <a16:creationId xmlns:a16="http://schemas.microsoft.com/office/drawing/2014/main" id="{D112C897-88E8-4F3A-8B61-335DAE9CDF48}"/>
            </a:ext>
          </a:extLst>
        </cdr:cNvPr>
        <cdr:cNvSpPr txBox="1"/>
      </cdr:nvSpPr>
      <cdr:spPr>
        <a:xfrm xmlns:a="http://schemas.openxmlformats.org/drawingml/2006/main">
          <a:off x="2466975" y="2558016"/>
          <a:ext cx="396000" cy="1238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accent3"/>
              </a:solidFill>
              <a:latin typeface="Arial" panose="020B0604020202020204" pitchFamily="34" charset="0"/>
              <a:cs typeface="Arial" panose="020B0604020202020204" pitchFamily="34" charset="0"/>
            </a:rPr>
            <a:t>UPPER</a:t>
          </a:r>
        </a:p>
      </cdr:txBody>
    </cdr:sp>
  </cdr:relSizeAnchor>
</c:userShapes>
</file>

<file path=xl/drawings/drawing11.xml><?xml version="1.0" encoding="utf-8"?>
<c:userShapes xmlns:c="http://schemas.openxmlformats.org/drawingml/2006/chart">
  <cdr:relSizeAnchor xmlns:cdr="http://schemas.openxmlformats.org/drawingml/2006/chartDrawing">
    <cdr:from>
      <cdr:x>0.52302</cdr:x>
      <cdr:y>0.93495</cdr:y>
    </cdr:from>
    <cdr:to>
      <cdr:x>0.64661</cdr:x>
      <cdr:y>0.98021</cdr:y>
    </cdr:to>
    <cdr:sp macro="" textlink="">
      <cdr:nvSpPr>
        <cdr:cNvPr id="2" name="TextBox 1">
          <a:extLst xmlns:a="http://schemas.openxmlformats.org/drawingml/2006/main">
            <a:ext uri="{FF2B5EF4-FFF2-40B4-BE49-F238E27FC236}">
              <a16:creationId xmlns:a16="http://schemas.microsoft.com/office/drawing/2014/main" id="{102E9E70-FF9D-48DE-B289-B3D7745885CB}"/>
            </a:ext>
          </a:extLst>
        </cdr:cNvPr>
        <cdr:cNvSpPr txBox="1"/>
      </cdr:nvSpPr>
      <cdr:spPr>
        <a:xfrm xmlns:a="http://schemas.openxmlformats.org/drawingml/2006/main">
          <a:off x="1666328" y="2534450"/>
          <a:ext cx="393758" cy="12269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tx2"/>
              </a:solidFill>
              <a:latin typeface="Arial" panose="020B0604020202020204" pitchFamily="34" charset="0"/>
              <a:cs typeface="Arial" panose="020B0604020202020204" pitchFamily="34" charset="0"/>
            </a:rPr>
            <a:t>LOWER</a:t>
          </a:r>
        </a:p>
      </cdr:txBody>
    </cdr:sp>
  </cdr:relSizeAnchor>
  <cdr:relSizeAnchor xmlns:cdr="http://schemas.openxmlformats.org/drawingml/2006/chartDrawing">
    <cdr:from>
      <cdr:x>0.70787</cdr:x>
      <cdr:y>0.93495</cdr:y>
    </cdr:from>
    <cdr:to>
      <cdr:x>0.77529</cdr:x>
      <cdr:y>0.98021</cdr:y>
    </cdr:to>
    <cdr:sp macro="" textlink="">
      <cdr:nvSpPr>
        <cdr:cNvPr id="3" name="TextBox 2">
          <a:extLst xmlns:a="http://schemas.openxmlformats.org/drawingml/2006/main">
            <a:ext uri="{FF2B5EF4-FFF2-40B4-BE49-F238E27FC236}">
              <a16:creationId xmlns:a16="http://schemas.microsoft.com/office/drawing/2014/main" id="{870E874D-6CE1-44E2-B58C-015EA6F1E8E0}"/>
            </a:ext>
          </a:extLst>
        </cdr:cNvPr>
        <cdr:cNvSpPr txBox="1"/>
      </cdr:nvSpPr>
      <cdr:spPr>
        <a:xfrm xmlns:a="http://schemas.openxmlformats.org/drawingml/2006/main">
          <a:off x="2255284" y="2534450"/>
          <a:ext cx="214800" cy="12269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accent2"/>
              </a:solidFill>
              <a:latin typeface="Arial" panose="020B0604020202020204" pitchFamily="34" charset="0"/>
              <a:cs typeface="Arial" panose="020B0604020202020204" pitchFamily="34" charset="0"/>
            </a:rPr>
            <a:t>MID</a:t>
          </a:r>
        </a:p>
      </cdr:txBody>
    </cdr:sp>
  </cdr:relSizeAnchor>
  <cdr:relSizeAnchor xmlns:cdr="http://schemas.openxmlformats.org/drawingml/2006/chartDrawing">
    <cdr:from>
      <cdr:x>0.80162</cdr:x>
      <cdr:y>0.93495</cdr:y>
    </cdr:from>
    <cdr:to>
      <cdr:x>0.92522</cdr:x>
      <cdr:y>0.98021</cdr:y>
    </cdr:to>
    <cdr:sp macro="" textlink="">
      <cdr:nvSpPr>
        <cdr:cNvPr id="4" name="TextBox 3">
          <a:extLst xmlns:a="http://schemas.openxmlformats.org/drawingml/2006/main">
            <a:ext uri="{FF2B5EF4-FFF2-40B4-BE49-F238E27FC236}">
              <a16:creationId xmlns:a16="http://schemas.microsoft.com/office/drawing/2014/main" id="{D112C897-88E8-4F3A-8B61-335DAE9CDF48}"/>
            </a:ext>
          </a:extLst>
        </cdr:cNvPr>
        <cdr:cNvSpPr txBox="1"/>
      </cdr:nvSpPr>
      <cdr:spPr>
        <a:xfrm xmlns:a="http://schemas.openxmlformats.org/drawingml/2006/main">
          <a:off x="2553978" y="2534450"/>
          <a:ext cx="393758" cy="12269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accent3"/>
              </a:solidFill>
              <a:latin typeface="Arial" panose="020B0604020202020204" pitchFamily="34" charset="0"/>
              <a:cs typeface="Arial" panose="020B0604020202020204" pitchFamily="34" charset="0"/>
            </a:rPr>
            <a:t>UPPER</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0</xdr:col>
      <xdr:colOff>2493516</xdr:colOff>
      <xdr:row>3</xdr:row>
      <xdr:rowOff>147918</xdr:rowOff>
    </xdr:to>
    <xdr:pic>
      <xdr:nvPicPr>
        <xdr:cNvPr id="2" name="Picture 1" descr="Accounting &amp; Finance">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852"/>
        <a:stretch/>
      </xdr:blipFill>
      <xdr:spPr bwMode="auto">
        <a:xfrm>
          <a:off x="76200" y="76200"/>
          <a:ext cx="2417316" cy="614643"/>
        </a:xfrm>
        <a:prstGeom prst="rect">
          <a:avLst/>
        </a:prstGeom>
        <a:solidFill>
          <a:sysClr val="window" lastClr="FFFFFF"/>
        </a:solidFill>
        <a:ln>
          <a:noFill/>
        </a:ln>
      </xdr:spPr>
    </xdr:pic>
    <xdr:clientData/>
  </xdr:twoCellAnchor>
  <xdr:twoCellAnchor>
    <xdr:from>
      <xdr:col>12</xdr:col>
      <xdr:colOff>56029</xdr:colOff>
      <xdr:row>11</xdr:row>
      <xdr:rowOff>161925</xdr:rowOff>
    </xdr:from>
    <xdr:to>
      <xdr:col>22</xdr:col>
      <xdr:colOff>489136</xdr:colOff>
      <xdr:row>27</xdr:row>
      <xdr:rowOff>95250</xdr:rowOff>
    </xdr:to>
    <xdr:graphicFrame macro="">
      <xdr:nvGraphicFramePr>
        <xdr:cNvPr id="9" name="Chart 8">
          <a:extLst>
            <a:ext uri="{FF2B5EF4-FFF2-40B4-BE49-F238E27FC236}">
              <a16:creationId xmlns:a16="http://schemas.microsoft.com/office/drawing/2014/main" id="{00000000-0008-0000-0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0</xdr:col>
      <xdr:colOff>2493516</xdr:colOff>
      <xdr:row>3</xdr:row>
      <xdr:rowOff>152961</xdr:rowOff>
    </xdr:to>
    <xdr:pic>
      <xdr:nvPicPr>
        <xdr:cNvPr id="2" name="Picture 1" descr="Accounting &amp; Finance">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852"/>
        <a:stretch/>
      </xdr:blipFill>
      <xdr:spPr bwMode="auto">
        <a:xfrm>
          <a:off x="76200" y="76200"/>
          <a:ext cx="2417316" cy="614643"/>
        </a:xfrm>
        <a:prstGeom prst="rect">
          <a:avLst/>
        </a:prstGeom>
        <a:solidFill>
          <a:sysClr val="window" lastClr="FFFFFF"/>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56028</xdr:colOff>
      <xdr:row>0</xdr:row>
      <xdr:rowOff>78442</xdr:rowOff>
    </xdr:from>
    <xdr:to>
      <xdr:col>1</xdr:col>
      <xdr:colOff>1227350</xdr:colOff>
      <xdr:row>1</xdr:row>
      <xdr:rowOff>77545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56028" y="78442"/>
          <a:ext cx="2412000" cy="3576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33617</xdr:colOff>
      <xdr:row>0</xdr:row>
      <xdr:rowOff>123264</xdr:rowOff>
    </xdr:from>
    <xdr:to>
      <xdr:col>1</xdr:col>
      <xdr:colOff>3096792</xdr:colOff>
      <xdr:row>3</xdr:row>
      <xdr:rowOff>39168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212911" y="123264"/>
          <a:ext cx="3060000" cy="4537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234000</xdr:colOff>
      <xdr:row>6</xdr:row>
      <xdr:rowOff>222496</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61950" y="1143000"/>
          <a:ext cx="234000" cy="222496"/>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5</xdr:col>
      <xdr:colOff>0</xdr:colOff>
      <xdr:row>6</xdr:row>
      <xdr:rowOff>0</xdr:rowOff>
    </xdr:from>
    <xdr:to>
      <xdr:col>5</xdr:col>
      <xdr:colOff>234000</xdr:colOff>
      <xdr:row>6</xdr:row>
      <xdr:rowOff>225341</xdr:rowOff>
    </xdr:to>
    <xdr:sp macro="" textlink="">
      <xdr:nvSpPr>
        <xdr:cNvPr id="4" name="TextBox 2">
          <a:extLst>
            <a:ext uri="{FF2B5EF4-FFF2-40B4-BE49-F238E27FC236}">
              <a16:creationId xmlns:a16="http://schemas.microsoft.com/office/drawing/2014/main" id="{00000000-0008-0000-0300-000004000000}"/>
            </a:ext>
          </a:extLst>
        </xdr:cNvPr>
        <xdr:cNvSpPr txBox="1"/>
      </xdr:nvSpPr>
      <xdr:spPr>
        <a:xfrm>
          <a:off x="5305425" y="1143000"/>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8</xdr:col>
      <xdr:colOff>0</xdr:colOff>
      <xdr:row>6</xdr:row>
      <xdr:rowOff>0</xdr:rowOff>
    </xdr:from>
    <xdr:to>
      <xdr:col>8</xdr:col>
      <xdr:colOff>234000</xdr:colOff>
      <xdr:row>6</xdr:row>
      <xdr:rowOff>225341</xdr:rowOff>
    </xdr:to>
    <xdr:sp macro="" textlink="">
      <xdr:nvSpPr>
        <xdr:cNvPr id="5" name="TextBox 2">
          <a:extLst>
            <a:ext uri="{FF2B5EF4-FFF2-40B4-BE49-F238E27FC236}">
              <a16:creationId xmlns:a16="http://schemas.microsoft.com/office/drawing/2014/main" id="{00000000-0008-0000-0300-000005000000}"/>
            </a:ext>
          </a:extLst>
        </xdr:cNvPr>
        <xdr:cNvSpPr txBox="1"/>
      </xdr:nvSpPr>
      <xdr:spPr>
        <a:xfrm>
          <a:off x="10248900" y="1143000"/>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5</xdr:col>
      <xdr:colOff>0</xdr:colOff>
      <xdr:row>20</xdr:row>
      <xdr:rowOff>0</xdr:rowOff>
    </xdr:from>
    <xdr:to>
      <xdr:col>5</xdr:col>
      <xdr:colOff>234000</xdr:colOff>
      <xdr:row>20</xdr:row>
      <xdr:rowOff>225341</xdr:rowOff>
    </xdr:to>
    <xdr:sp macro="" textlink="">
      <xdr:nvSpPr>
        <xdr:cNvPr id="7" name="TextBox 2">
          <a:extLst>
            <a:ext uri="{FF2B5EF4-FFF2-40B4-BE49-F238E27FC236}">
              <a16:creationId xmlns:a16="http://schemas.microsoft.com/office/drawing/2014/main" id="{00000000-0008-0000-0300-000007000000}"/>
            </a:ext>
          </a:extLst>
        </xdr:cNvPr>
        <xdr:cNvSpPr txBox="1"/>
      </xdr:nvSpPr>
      <xdr:spPr>
        <a:xfrm>
          <a:off x="5305425" y="3990975"/>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2</xdr:col>
      <xdr:colOff>0</xdr:colOff>
      <xdr:row>20</xdr:row>
      <xdr:rowOff>0</xdr:rowOff>
    </xdr:from>
    <xdr:to>
      <xdr:col>2</xdr:col>
      <xdr:colOff>234000</xdr:colOff>
      <xdr:row>20</xdr:row>
      <xdr:rowOff>225341</xdr:rowOff>
    </xdr:to>
    <xdr:sp macro="" textlink="">
      <xdr:nvSpPr>
        <xdr:cNvPr id="8" name="TextBox 2">
          <a:extLst>
            <a:ext uri="{FF2B5EF4-FFF2-40B4-BE49-F238E27FC236}">
              <a16:creationId xmlns:a16="http://schemas.microsoft.com/office/drawing/2014/main" id="{00000000-0008-0000-0300-000008000000}"/>
            </a:ext>
          </a:extLst>
        </xdr:cNvPr>
        <xdr:cNvSpPr txBox="1"/>
      </xdr:nvSpPr>
      <xdr:spPr>
        <a:xfrm>
          <a:off x="361950" y="3990975"/>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1</xdr:col>
      <xdr:colOff>179293</xdr:colOff>
      <xdr:row>7</xdr:row>
      <xdr:rowOff>57150</xdr:rowOff>
    </xdr:from>
    <xdr:to>
      <xdr:col>2</xdr:col>
      <xdr:colOff>6000793</xdr:colOff>
      <xdr:row>19</xdr:row>
      <xdr:rowOff>3150</xdr:rowOff>
    </xdr:to>
    <xdr:graphicFrame macro="">
      <xdr:nvGraphicFramePr>
        <xdr:cNvPr id="9" name="Chart 8">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7</xdr:row>
      <xdr:rowOff>57150</xdr:rowOff>
    </xdr:from>
    <xdr:to>
      <xdr:col>5</xdr:col>
      <xdr:colOff>6012000</xdr:colOff>
      <xdr:row>19</xdr:row>
      <xdr:rowOff>3150</xdr:rowOff>
    </xdr:to>
    <xdr:graphicFrame macro="">
      <xdr:nvGraphicFramePr>
        <xdr:cNvPr id="10" name="Chart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7</xdr:row>
      <xdr:rowOff>57150</xdr:rowOff>
    </xdr:from>
    <xdr:to>
      <xdr:col>8</xdr:col>
      <xdr:colOff>6012000</xdr:colOff>
      <xdr:row>19</xdr:row>
      <xdr:rowOff>3150</xdr:rowOff>
    </xdr:to>
    <xdr:graphicFrame macro="">
      <xdr:nvGraphicFramePr>
        <xdr:cNvPr id="12" name="Chart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7</xdr:row>
      <xdr:rowOff>57150</xdr:rowOff>
    </xdr:from>
    <xdr:to>
      <xdr:col>11</xdr:col>
      <xdr:colOff>6012000</xdr:colOff>
      <xdr:row>19</xdr:row>
      <xdr:rowOff>3150</xdr:rowOff>
    </xdr:to>
    <xdr:graphicFrame macro="">
      <xdr:nvGraphicFramePr>
        <xdr:cNvPr id="13" name="Chart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179293</xdr:colOff>
      <xdr:row>21</xdr:row>
      <xdr:rowOff>47625</xdr:rowOff>
    </xdr:from>
    <xdr:to>
      <xdr:col>2</xdr:col>
      <xdr:colOff>6000793</xdr:colOff>
      <xdr:row>32</xdr:row>
      <xdr:rowOff>184125</xdr:rowOff>
    </xdr:to>
    <xdr:graphicFrame macro="">
      <xdr:nvGraphicFramePr>
        <xdr:cNvPr id="14" name="Chart 13">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35</xdr:row>
      <xdr:rowOff>38100</xdr:rowOff>
    </xdr:from>
    <xdr:to>
      <xdr:col>2</xdr:col>
      <xdr:colOff>6012000</xdr:colOff>
      <xdr:row>46</xdr:row>
      <xdr:rowOff>174600</xdr:rowOff>
    </xdr:to>
    <xdr:graphicFrame macro="">
      <xdr:nvGraphicFramePr>
        <xdr:cNvPr id="15" name="Chart 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35</xdr:row>
      <xdr:rowOff>38100</xdr:rowOff>
    </xdr:from>
    <xdr:to>
      <xdr:col>5</xdr:col>
      <xdr:colOff>6012000</xdr:colOff>
      <xdr:row>46</xdr:row>
      <xdr:rowOff>174600</xdr:rowOff>
    </xdr:to>
    <xdr:graphicFrame macro="">
      <xdr:nvGraphicFramePr>
        <xdr:cNvPr id="16" name="Chart 15">
          <a:extLst>
            <a:ext uri="{FF2B5EF4-FFF2-40B4-BE49-F238E27FC236}">
              <a16:creationId xmlns:a16="http://schemas.microsoft.com/office/drawing/2014/main" id="{00000000-0008-0000-03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34</xdr:row>
      <xdr:rowOff>0</xdr:rowOff>
    </xdr:from>
    <xdr:to>
      <xdr:col>2</xdr:col>
      <xdr:colOff>234000</xdr:colOff>
      <xdr:row>34</xdr:row>
      <xdr:rowOff>222496</xdr:rowOff>
    </xdr:to>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353786" y="7130143"/>
          <a:ext cx="234000" cy="222496"/>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5</xdr:col>
      <xdr:colOff>0</xdr:colOff>
      <xdr:row>34</xdr:row>
      <xdr:rowOff>0</xdr:rowOff>
    </xdr:from>
    <xdr:to>
      <xdr:col>5</xdr:col>
      <xdr:colOff>234000</xdr:colOff>
      <xdr:row>34</xdr:row>
      <xdr:rowOff>225341</xdr:rowOff>
    </xdr:to>
    <xdr:sp macro="" textlink="">
      <xdr:nvSpPr>
        <xdr:cNvPr id="18" name="TextBox 2">
          <a:extLst>
            <a:ext uri="{FF2B5EF4-FFF2-40B4-BE49-F238E27FC236}">
              <a16:creationId xmlns:a16="http://schemas.microsoft.com/office/drawing/2014/main" id="{00000000-0008-0000-0300-000012000000}"/>
            </a:ext>
          </a:extLst>
        </xdr:cNvPr>
        <xdr:cNvSpPr txBox="1"/>
      </xdr:nvSpPr>
      <xdr:spPr>
        <a:xfrm>
          <a:off x="5305425" y="7115175"/>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8</xdr:col>
      <xdr:colOff>0</xdr:colOff>
      <xdr:row>34</xdr:row>
      <xdr:rowOff>0</xdr:rowOff>
    </xdr:from>
    <xdr:to>
      <xdr:col>8</xdr:col>
      <xdr:colOff>234000</xdr:colOff>
      <xdr:row>34</xdr:row>
      <xdr:rowOff>225341</xdr:rowOff>
    </xdr:to>
    <xdr:sp macro="" textlink="">
      <xdr:nvSpPr>
        <xdr:cNvPr id="19" name="TextBox 2">
          <a:extLst>
            <a:ext uri="{FF2B5EF4-FFF2-40B4-BE49-F238E27FC236}">
              <a16:creationId xmlns:a16="http://schemas.microsoft.com/office/drawing/2014/main" id="{00000000-0008-0000-0300-000013000000}"/>
            </a:ext>
          </a:extLst>
        </xdr:cNvPr>
        <xdr:cNvSpPr txBox="1"/>
      </xdr:nvSpPr>
      <xdr:spPr>
        <a:xfrm>
          <a:off x="5305425" y="10067925"/>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8</xdr:col>
      <xdr:colOff>0</xdr:colOff>
      <xdr:row>35</xdr:row>
      <xdr:rowOff>38100</xdr:rowOff>
    </xdr:from>
    <xdr:to>
      <xdr:col>8</xdr:col>
      <xdr:colOff>6012000</xdr:colOff>
      <xdr:row>46</xdr:row>
      <xdr:rowOff>174600</xdr:rowOff>
    </xdr:to>
    <xdr:graphicFrame macro="">
      <xdr:nvGraphicFramePr>
        <xdr:cNvPr id="21" name="Chart 20">
          <a:extLst>
            <a:ext uri="{FF2B5EF4-FFF2-40B4-BE49-F238E27FC236}">
              <a16:creationId xmlns:a16="http://schemas.microsoft.com/office/drawing/2014/main" id="{00000000-0008-0000-0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21</xdr:row>
      <xdr:rowOff>47625</xdr:rowOff>
    </xdr:from>
    <xdr:to>
      <xdr:col>8</xdr:col>
      <xdr:colOff>6012000</xdr:colOff>
      <xdr:row>32</xdr:row>
      <xdr:rowOff>184125</xdr:rowOff>
    </xdr:to>
    <xdr:graphicFrame macro="">
      <xdr:nvGraphicFramePr>
        <xdr:cNvPr id="24" name="Chart 23">
          <a:extLst>
            <a:ext uri="{FF2B5EF4-FFF2-40B4-BE49-F238E27FC236}">
              <a16:creationId xmlns:a16="http://schemas.microsoft.com/office/drawing/2014/main" id="{00000000-0008-0000-03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7793</xdr:colOff>
      <xdr:row>49</xdr:row>
      <xdr:rowOff>41460</xdr:rowOff>
    </xdr:from>
    <xdr:to>
      <xdr:col>2</xdr:col>
      <xdr:colOff>6019793</xdr:colOff>
      <xdr:row>60</xdr:row>
      <xdr:rowOff>177960</xdr:rowOff>
    </xdr:to>
    <xdr:graphicFrame macro="">
      <xdr:nvGraphicFramePr>
        <xdr:cNvPr id="33" name="Chart 32">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0</xdr:colOff>
      <xdr:row>49</xdr:row>
      <xdr:rowOff>41460</xdr:rowOff>
    </xdr:from>
    <xdr:to>
      <xdr:col>8</xdr:col>
      <xdr:colOff>6012000</xdr:colOff>
      <xdr:row>60</xdr:row>
      <xdr:rowOff>177960</xdr:rowOff>
    </xdr:to>
    <xdr:graphicFrame macro="">
      <xdr:nvGraphicFramePr>
        <xdr:cNvPr id="34" name="Chart 33">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28574</xdr:colOff>
      <xdr:row>49</xdr:row>
      <xdr:rowOff>41460</xdr:rowOff>
    </xdr:from>
    <xdr:to>
      <xdr:col>5</xdr:col>
      <xdr:colOff>6040574</xdr:colOff>
      <xdr:row>60</xdr:row>
      <xdr:rowOff>177960</xdr:rowOff>
    </xdr:to>
    <xdr:graphicFrame macro="">
      <xdr:nvGraphicFramePr>
        <xdr:cNvPr id="35" name="Chart 34">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0</xdr:colOff>
      <xdr:row>49</xdr:row>
      <xdr:rowOff>41460</xdr:rowOff>
    </xdr:from>
    <xdr:to>
      <xdr:col>11</xdr:col>
      <xdr:colOff>6012000</xdr:colOff>
      <xdr:row>60</xdr:row>
      <xdr:rowOff>177960</xdr:rowOff>
    </xdr:to>
    <xdr:graphicFrame macro="">
      <xdr:nvGraphicFramePr>
        <xdr:cNvPr id="36" name="Chart 35">
          <a:extLst>
            <a:ext uri="{FF2B5EF4-FFF2-40B4-BE49-F238E27FC236}">
              <a16:creationId xmlns:a16="http://schemas.microsoft.com/office/drawing/2014/main" id="{00000000-0008-0000-0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47624</xdr:colOff>
      <xdr:row>48</xdr:row>
      <xdr:rowOff>3811</xdr:rowOff>
    </xdr:from>
    <xdr:to>
      <xdr:col>5</xdr:col>
      <xdr:colOff>281624</xdr:colOff>
      <xdr:row>48</xdr:row>
      <xdr:rowOff>237811</xdr:rowOff>
    </xdr:to>
    <xdr:sp macro="" textlink="">
      <xdr:nvSpPr>
        <xdr:cNvPr id="37" name="TextBox 2">
          <a:extLst>
            <a:ext uri="{FF2B5EF4-FFF2-40B4-BE49-F238E27FC236}">
              <a16:creationId xmlns:a16="http://schemas.microsoft.com/office/drawing/2014/main" id="{00000000-0008-0000-0300-000025000000}"/>
            </a:ext>
          </a:extLst>
        </xdr:cNvPr>
        <xdr:cNvSpPr txBox="1"/>
      </xdr:nvSpPr>
      <xdr:spPr>
        <a:xfrm>
          <a:off x="5549264" y="32617411"/>
          <a:ext cx="234000" cy="234000"/>
        </a:xfrm>
        <a:prstGeom prst="rect">
          <a:avLst/>
        </a:prstGeom>
        <a:solidFill>
          <a:schemeClr val="accent3"/>
        </a:solidFill>
      </xdr:spPr>
      <xdr:txBody>
        <a:bodyPr wrap="square" lIns="36000" tIns="0" rIns="36000" bIns="0" rtlCol="0" anchor="ctr">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2</xdr:col>
      <xdr:colOff>45893</xdr:colOff>
      <xdr:row>48</xdr:row>
      <xdr:rowOff>3811</xdr:rowOff>
    </xdr:from>
    <xdr:to>
      <xdr:col>2</xdr:col>
      <xdr:colOff>279893</xdr:colOff>
      <xdr:row>48</xdr:row>
      <xdr:rowOff>237811</xdr:rowOff>
    </xdr:to>
    <xdr:sp macro="" textlink="">
      <xdr:nvSpPr>
        <xdr:cNvPr id="38" name="TextBox 2">
          <a:extLst>
            <a:ext uri="{FF2B5EF4-FFF2-40B4-BE49-F238E27FC236}">
              <a16:creationId xmlns:a16="http://schemas.microsoft.com/office/drawing/2014/main" id="{00000000-0008-0000-0300-000026000000}"/>
            </a:ext>
          </a:extLst>
        </xdr:cNvPr>
        <xdr:cNvSpPr txBox="1"/>
      </xdr:nvSpPr>
      <xdr:spPr>
        <a:xfrm>
          <a:off x="472613" y="32617411"/>
          <a:ext cx="234000" cy="234000"/>
        </a:xfrm>
        <a:prstGeom prst="rect">
          <a:avLst/>
        </a:prstGeom>
        <a:solidFill>
          <a:schemeClr val="accent1"/>
        </a:solidFill>
      </xdr:spPr>
      <xdr:txBody>
        <a:bodyPr wrap="square" lIns="36000" tIns="0" rIns="36000" bIns="0" rtlCol="0" anchor="ctr">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2</xdr:col>
      <xdr:colOff>7793</xdr:colOff>
      <xdr:row>63</xdr:row>
      <xdr:rowOff>38101</xdr:rowOff>
    </xdr:from>
    <xdr:to>
      <xdr:col>2</xdr:col>
      <xdr:colOff>6019793</xdr:colOff>
      <xdr:row>74</xdr:row>
      <xdr:rowOff>174601</xdr:rowOff>
    </xdr:to>
    <xdr:graphicFrame macro="">
      <xdr:nvGraphicFramePr>
        <xdr:cNvPr id="44" name="Chart 43">
          <a:extLst>
            <a:ext uri="{FF2B5EF4-FFF2-40B4-BE49-F238E27FC236}">
              <a16:creationId xmlns:a16="http://schemas.microsoft.com/office/drawing/2014/main" id="{00000000-0008-0000-03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28574</xdr:colOff>
      <xdr:row>63</xdr:row>
      <xdr:rowOff>38101</xdr:rowOff>
    </xdr:from>
    <xdr:to>
      <xdr:col>5</xdr:col>
      <xdr:colOff>6040574</xdr:colOff>
      <xdr:row>74</xdr:row>
      <xdr:rowOff>174601</xdr:rowOff>
    </xdr:to>
    <xdr:graphicFrame macro="">
      <xdr:nvGraphicFramePr>
        <xdr:cNvPr id="45" name="Chart 44">
          <a:extLst>
            <a:ext uri="{FF2B5EF4-FFF2-40B4-BE49-F238E27FC236}">
              <a16:creationId xmlns:a16="http://schemas.microsoft.com/office/drawing/2014/main" id="{00000000-0008-0000-03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45893</xdr:colOff>
      <xdr:row>62</xdr:row>
      <xdr:rowOff>3862</xdr:rowOff>
    </xdr:from>
    <xdr:to>
      <xdr:col>2</xdr:col>
      <xdr:colOff>279893</xdr:colOff>
      <xdr:row>62</xdr:row>
      <xdr:rowOff>237862</xdr:rowOff>
    </xdr:to>
    <xdr:sp macro="" textlink="">
      <xdr:nvSpPr>
        <xdr:cNvPr id="46" name="TextBox 2">
          <a:extLst>
            <a:ext uri="{FF2B5EF4-FFF2-40B4-BE49-F238E27FC236}">
              <a16:creationId xmlns:a16="http://schemas.microsoft.com/office/drawing/2014/main" id="{00000000-0008-0000-0300-00002E000000}"/>
            </a:ext>
          </a:extLst>
        </xdr:cNvPr>
        <xdr:cNvSpPr txBox="1"/>
      </xdr:nvSpPr>
      <xdr:spPr>
        <a:xfrm>
          <a:off x="404481" y="15535215"/>
          <a:ext cx="234000" cy="234000"/>
        </a:xfrm>
        <a:prstGeom prst="rect">
          <a:avLst/>
        </a:prstGeom>
        <a:solidFill>
          <a:schemeClr val="accent4"/>
        </a:solidFill>
      </xdr:spPr>
      <xdr:txBody>
        <a:bodyPr wrap="square" lIns="36000" tIns="0" rIns="36000" bIns="0" rtlCol="0" anchor="ctr">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5</xdr:col>
      <xdr:colOff>47624</xdr:colOff>
      <xdr:row>62</xdr:row>
      <xdr:rowOff>3862</xdr:rowOff>
    </xdr:from>
    <xdr:to>
      <xdr:col>5</xdr:col>
      <xdr:colOff>281624</xdr:colOff>
      <xdr:row>62</xdr:row>
      <xdr:rowOff>237862</xdr:rowOff>
    </xdr:to>
    <xdr:sp macro="" textlink="">
      <xdr:nvSpPr>
        <xdr:cNvPr id="47" name="TextBox 2">
          <a:extLst>
            <a:ext uri="{FF2B5EF4-FFF2-40B4-BE49-F238E27FC236}">
              <a16:creationId xmlns:a16="http://schemas.microsoft.com/office/drawing/2014/main" id="{00000000-0008-0000-0300-00002F000000}"/>
            </a:ext>
          </a:extLst>
        </xdr:cNvPr>
        <xdr:cNvSpPr txBox="1"/>
      </xdr:nvSpPr>
      <xdr:spPr>
        <a:xfrm>
          <a:off x="5348006" y="15535215"/>
          <a:ext cx="234000" cy="234000"/>
        </a:xfrm>
        <a:prstGeom prst="rect">
          <a:avLst/>
        </a:prstGeom>
        <a:solidFill>
          <a:schemeClr val="accent6"/>
        </a:solidFill>
      </xdr:spPr>
      <xdr:txBody>
        <a:bodyPr wrap="square" lIns="36000" tIns="0" rIns="36000" bIns="0" rtlCol="0" anchor="ctr">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8</xdr:col>
      <xdr:colOff>0</xdr:colOff>
      <xdr:row>63</xdr:row>
      <xdr:rowOff>38101</xdr:rowOff>
    </xdr:from>
    <xdr:to>
      <xdr:col>8</xdr:col>
      <xdr:colOff>6012000</xdr:colOff>
      <xdr:row>74</xdr:row>
      <xdr:rowOff>174601</xdr:rowOff>
    </xdr:to>
    <xdr:graphicFrame macro="">
      <xdr:nvGraphicFramePr>
        <xdr:cNvPr id="48" name="Chart 47">
          <a:extLst>
            <a:ext uri="{FF2B5EF4-FFF2-40B4-BE49-F238E27FC236}">
              <a16:creationId xmlns:a16="http://schemas.microsoft.com/office/drawing/2014/main" id="{00000000-0008-0000-03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0</xdr:colOff>
      <xdr:row>63</xdr:row>
      <xdr:rowOff>38101</xdr:rowOff>
    </xdr:from>
    <xdr:to>
      <xdr:col>11</xdr:col>
      <xdr:colOff>6012000</xdr:colOff>
      <xdr:row>74</xdr:row>
      <xdr:rowOff>174601</xdr:rowOff>
    </xdr:to>
    <xdr:graphicFrame macro="">
      <xdr:nvGraphicFramePr>
        <xdr:cNvPr id="49" name="Chart 48">
          <a:extLst>
            <a:ext uri="{FF2B5EF4-FFF2-40B4-BE49-F238E27FC236}">
              <a16:creationId xmlns:a16="http://schemas.microsoft.com/office/drawing/2014/main" id="{00000000-0008-0000-03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0</xdr:colOff>
      <xdr:row>6</xdr:row>
      <xdr:rowOff>0</xdr:rowOff>
    </xdr:from>
    <xdr:to>
      <xdr:col>11</xdr:col>
      <xdr:colOff>234000</xdr:colOff>
      <xdr:row>6</xdr:row>
      <xdr:rowOff>225341</xdr:rowOff>
    </xdr:to>
    <xdr:sp macro="" textlink="">
      <xdr:nvSpPr>
        <xdr:cNvPr id="2" name="TextBox 2">
          <a:extLst>
            <a:ext uri="{FF2B5EF4-FFF2-40B4-BE49-F238E27FC236}">
              <a16:creationId xmlns:a16="http://schemas.microsoft.com/office/drawing/2014/main" id="{00000000-0008-0000-0300-000002000000}"/>
            </a:ext>
          </a:extLst>
        </xdr:cNvPr>
        <xdr:cNvSpPr txBox="1"/>
      </xdr:nvSpPr>
      <xdr:spPr>
        <a:xfrm>
          <a:off x="13430250" y="1143000"/>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5</xdr:col>
      <xdr:colOff>0</xdr:colOff>
      <xdr:row>21</xdr:row>
      <xdr:rowOff>47625</xdr:rowOff>
    </xdr:from>
    <xdr:to>
      <xdr:col>5</xdr:col>
      <xdr:colOff>6012000</xdr:colOff>
      <xdr:row>32</xdr:row>
      <xdr:rowOff>184125</xdr:rowOff>
    </xdr:to>
    <xdr:graphicFrame macro="">
      <xdr:nvGraphicFramePr>
        <xdr:cNvPr id="26" name="Chart 25">
          <a:extLst>
            <a:ext uri="{FF2B5EF4-FFF2-40B4-BE49-F238E27FC236}">
              <a16:creationId xmlns:a16="http://schemas.microsoft.com/office/drawing/2014/main" id="{00000000-0008-0000-03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0</xdr:colOff>
      <xdr:row>34</xdr:row>
      <xdr:rowOff>0</xdr:rowOff>
    </xdr:from>
    <xdr:to>
      <xdr:col>11</xdr:col>
      <xdr:colOff>234000</xdr:colOff>
      <xdr:row>34</xdr:row>
      <xdr:rowOff>225341</xdr:rowOff>
    </xdr:to>
    <xdr:sp macro="" textlink="">
      <xdr:nvSpPr>
        <xdr:cNvPr id="28" name="TextBox 2">
          <a:extLst>
            <a:ext uri="{FF2B5EF4-FFF2-40B4-BE49-F238E27FC236}">
              <a16:creationId xmlns:a16="http://schemas.microsoft.com/office/drawing/2014/main" id="{00000000-0008-0000-0300-00001C000000}"/>
            </a:ext>
          </a:extLst>
        </xdr:cNvPr>
        <xdr:cNvSpPr txBox="1"/>
      </xdr:nvSpPr>
      <xdr:spPr>
        <a:xfrm>
          <a:off x="13430250" y="7286625"/>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11</xdr:col>
      <xdr:colOff>0</xdr:colOff>
      <xdr:row>35</xdr:row>
      <xdr:rowOff>38100</xdr:rowOff>
    </xdr:from>
    <xdr:to>
      <xdr:col>11</xdr:col>
      <xdr:colOff>6012000</xdr:colOff>
      <xdr:row>46</xdr:row>
      <xdr:rowOff>174600</xdr:rowOff>
    </xdr:to>
    <xdr:graphicFrame macro="">
      <xdr:nvGraphicFramePr>
        <xdr:cNvPr id="29" name="Chart 28">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6</xdr:row>
      <xdr:rowOff>0</xdr:rowOff>
    </xdr:from>
    <xdr:to>
      <xdr:col>11</xdr:col>
      <xdr:colOff>234000</xdr:colOff>
      <xdr:row>6</xdr:row>
      <xdr:rowOff>225341</xdr:rowOff>
    </xdr:to>
    <xdr:sp macro="" textlink="">
      <xdr:nvSpPr>
        <xdr:cNvPr id="30" name="TextBox 2">
          <a:extLst>
            <a:ext uri="{FF2B5EF4-FFF2-40B4-BE49-F238E27FC236}">
              <a16:creationId xmlns:a16="http://schemas.microsoft.com/office/drawing/2014/main" id="{00000000-0008-0000-0300-00001E000000}"/>
            </a:ext>
          </a:extLst>
        </xdr:cNvPr>
        <xdr:cNvSpPr txBox="1"/>
      </xdr:nvSpPr>
      <xdr:spPr>
        <a:xfrm>
          <a:off x="6905625" y="3976688"/>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5</xdr:col>
      <xdr:colOff>0</xdr:colOff>
      <xdr:row>19</xdr:row>
      <xdr:rowOff>293076</xdr:rowOff>
    </xdr:from>
    <xdr:to>
      <xdr:col>5</xdr:col>
      <xdr:colOff>234000</xdr:colOff>
      <xdr:row>20</xdr:row>
      <xdr:rowOff>225341</xdr:rowOff>
    </xdr:to>
    <xdr:sp macro="" textlink="">
      <xdr:nvSpPr>
        <xdr:cNvPr id="31" name="TextBox 2">
          <a:extLst>
            <a:ext uri="{FF2B5EF4-FFF2-40B4-BE49-F238E27FC236}">
              <a16:creationId xmlns:a16="http://schemas.microsoft.com/office/drawing/2014/main" id="{00000000-0008-0000-0300-00001F000000}"/>
            </a:ext>
          </a:extLst>
        </xdr:cNvPr>
        <xdr:cNvSpPr txBox="1"/>
      </xdr:nvSpPr>
      <xdr:spPr>
        <a:xfrm>
          <a:off x="6916615" y="3861288"/>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8</xdr:col>
      <xdr:colOff>0</xdr:colOff>
      <xdr:row>6</xdr:row>
      <xdr:rowOff>0</xdr:rowOff>
    </xdr:from>
    <xdr:to>
      <xdr:col>8</xdr:col>
      <xdr:colOff>234000</xdr:colOff>
      <xdr:row>6</xdr:row>
      <xdr:rowOff>225341</xdr:rowOff>
    </xdr:to>
    <xdr:sp macro="" textlink="">
      <xdr:nvSpPr>
        <xdr:cNvPr id="32" name="TextBox 2">
          <a:extLst>
            <a:ext uri="{FF2B5EF4-FFF2-40B4-BE49-F238E27FC236}">
              <a16:creationId xmlns:a16="http://schemas.microsoft.com/office/drawing/2014/main" id="{00000000-0008-0000-0300-000020000000}"/>
            </a:ext>
          </a:extLst>
        </xdr:cNvPr>
        <xdr:cNvSpPr txBox="1"/>
      </xdr:nvSpPr>
      <xdr:spPr>
        <a:xfrm>
          <a:off x="381000" y="3976688"/>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2</xdr:col>
      <xdr:colOff>0</xdr:colOff>
      <xdr:row>20</xdr:row>
      <xdr:rowOff>0</xdr:rowOff>
    </xdr:from>
    <xdr:to>
      <xdr:col>2</xdr:col>
      <xdr:colOff>234000</xdr:colOff>
      <xdr:row>20</xdr:row>
      <xdr:rowOff>225341</xdr:rowOff>
    </xdr:to>
    <xdr:sp macro="" textlink="">
      <xdr:nvSpPr>
        <xdr:cNvPr id="41" name="TextBox 2">
          <a:extLst>
            <a:ext uri="{FF2B5EF4-FFF2-40B4-BE49-F238E27FC236}">
              <a16:creationId xmlns:a16="http://schemas.microsoft.com/office/drawing/2014/main" id="{00000000-0008-0000-0300-000029000000}"/>
            </a:ext>
          </a:extLst>
        </xdr:cNvPr>
        <xdr:cNvSpPr txBox="1"/>
      </xdr:nvSpPr>
      <xdr:spPr>
        <a:xfrm>
          <a:off x="13430250" y="3976688"/>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oneCellAnchor>
    <xdr:from>
      <xdr:col>8</xdr:col>
      <xdr:colOff>0</xdr:colOff>
      <xdr:row>19</xdr:row>
      <xdr:rowOff>287592</xdr:rowOff>
    </xdr:from>
    <xdr:ext cx="237175" cy="230825"/>
    <xdr:pic>
      <xdr:nvPicPr>
        <xdr:cNvPr id="55" name="Picture 54" descr="Image result for person icon">
          <a:extLst>
            <a:ext uri="{FF2B5EF4-FFF2-40B4-BE49-F238E27FC236}">
              <a16:creationId xmlns:a16="http://schemas.microsoft.com/office/drawing/2014/main" id="{00000000-0008-0000-0300-000037000000}"/>
            </a:ext>
          </a:extLst>
        </xdr:cNvPr>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17947" r="17947"/>
        <a:stretch/>
      </xdr:blipFill>
      <xdr:spPr bwMode="auto">
        <a:xfrm>
          <a:off x="13466885" y="3855804"/>
          <a:ext cx="237175" cy="23082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oneCellAnchor>
  <xdr:twoCellAnchor>
    <xdr:from>
      <xdr:col>8</xdr:col>
      <xdr:colOff>0</xdr:colOff>
      <xdr:row>34</xdr:row>
      <xdr:rowOff>0</xdr:rowOff>
    </xdr:from>
    <xdr:to>
      <xdr:col>8</xdr:col>
      <xdr:colOff>234000</xdr:colOff>
      <xdr:row>34</xdr:row>
      <xdr:rowOff>225341</xdr:rowOff>
    </xdr:to>
    <xdr:sp macro="" textlink="">
      <xdr:nvSpPr>
        <xdr:cNvPr id="57" name="TextBox 2">
          <a:extLst>
            <a:ext uri="{FF2B5EF4-FFF2-40B4-BE49-F238E27FC236}">
              <a16:creationId xmlns:a16="http://schemas.microsoft.com/office/drawing/2014/main" id="{00000000-0008-0000-0300-000039000000}"/>
            </a:ext>
          </a:extLst>
        </xdr:cNvPr>
        <xdr:cNvSpPr txBox="1"/>
      </xdr:nvSpPr>
      <xdr:spPr>
        <a:xfrm>
          <a:off x="6905625" y="10501313"/>
          <a:ext cx="234000" cy="225341"/>
        </a:xfrm>
        <a:prstGeom prst="rect">
          <a:avLst/>
        </a:prstGeom>
        <a:solidFill>
          <a:schemeClr val="tx1"/>
        </a:solidFill>
      </xdr:spPr>
      <xdr:txBody>
        <a:bodyPr wrap="square" lIns="36000" tIns="0" rIns="36000" bIns="0" rtlCol="0">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8</xdr:col>
      <xdr:colOff>45893</xdr:colOff>
      <xdr:row>48</xdr:row>
      <xdr:rowOff>3862</xdr:rowOff>
    </xdr:from>
    <xdr:to>
      <xdr:col>8</xdr:col>
      <xdr:colOff>279893</xdr:colOff>
      <xdr:row>48</xdr:row>
      <xdr:rowOff>237862</xdr:rowOff>
    </xdr:to>
    <xdr:sp macro="" textlink="">
      <xdr:nvSpPr>
        <xdr:cNvPr id="58" name="TextBox 2">
          <a:extLst>
            <a:ext uri="{FF2B5EF4-FFF2-40B4-BE49-F238E27FC236}">
              <a16:creationId xmlns:a16="http://schemas.microsoft.com/office/drawing/2014/main" id="{00000000-0008-0000-0300-00003A000000}"/>
            </a:ext>
          </a:extLst>
        </xdr:cNvPr>
        <xdr:cNvSpPr txBox="1"/>
      </xdr:nvSpPr>
      <xdr:spPr>
        <a:xfrm>
          <a:off x="426893" y="16267800"/>
          <a:ext cx="234000" cy="234000"/>
        </a:xfrm>
        <a:prstGeom prst="rect">
          <a:avLst/>
        </a:prstGeom>
        <a:solidFill>
          <a:schemeClr val="accent5"/>
        </a:solidFill>
      </xdr:spPr>
      <xdr:txBody>
        <a:bodyPr wrap="square" lIns="36000" tIns="0" rIns="36000" bIns="0" rtlCol="0" anchor="ctr">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11</xdr:col>
      <xdr:colOff>47624</xdr:colOff>
      <xdr:row>48</xdr:row>
      <xdr:rowOff>3862</xdr:rowOff>
    </xdr:from>
    <xdr:to>
      <xdr:col>11</xdr:col>
      <xdr:colOff>281624</xdr:colOff>
      <xdr:row>48</xdr:row>
      <xdr:rowOff>237862</xdr:rowOff>
    </xdr:to>
    <xdr:sp macro="" textlink="">
      <xdr:nvSpPr>
        <xdr:cNvPr id="59" name="TextBox 2">
          <a:extLst>
            <a:ext uri="{FF2B5EF4-FFF2-40B4-BE49-F238E27FC236}">
              <a16:creationId xmlns:a16="http://schemas.microsoft.com/office/drawing/2014/main" id="{00000000-0008-0000-0300-00003B000000}"/>
            </a:ext>
          </a:extLst>
        </xdr:cNvPr>
        <xdr:cNvSpPr txBox="1"/>
      </xdr:nvSpPr>
      <xdr:spPr>
        <a:xfrm>
          <a:off x="6953249" y="16267800"/>
          <a:ext cx="234000" cy="234000"/>
        </a:xfrm>
        <a:prstGeom prst="rect">
          <a:avLst/>
        </a:prstGeom>
        <a:solidFill>
          <a:schemeClr val="accent2"/>
        </a:solidFill>
      </xdr:spPr>
      <xdr:txBody>
        <a:bodyPr wrap="square" lIns="36000" tIns="0" rIns="36000" bIns="0" rtlCol="0" anchor="ctr">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8</xdr:col>
      <xdr:colOff>45893</xdr:colOff>
      <xdr:row>62</xdr:row>
      <xdr:rowOff>3862</xdr:rowOff>
    </xdr:from>
    <xdr:to>
      <xdr:col>8</xdr:col>
      <xdr:colOff>279893</xdr:colOff>
      <xdr:row>62</xdr:row>
      <xdr:rowOff>237862</xdr:rowOff>
    </xdr:to>
    <xdr:sp macro="" textlink="">
      <xdr:nvSpPr>
        <xdr:cNvPr id="60" name="TextBox 2">
          <a:extLst>
            <a:ext uri="{FF2B5EF4-FFF2-40B4-BE49-F238E27FC236}">
              <a16:creationId xmlns:a16="http://schemas.microsoft.com/office/drawing/2014/main" id="{00000000-0008-0000-0300-00003C000000}"/>
            </a:ext>
          </a:extLst>
        </xdr:cNvPr>
        <xdr:cNvSpPr txBox="1"/>
      </xdr:nvSpPr>
      <xdr:spPr>
        <a:xfrm>
          <a:off x="426893" y="21935175"/>
          <a:ext cx="234000" cy="234000"/>
        </a:xfrm>
        <a:prstGeom prst="rect">
          <a:avLst/>
        </a:prstGeom>
        <a:solidFill>
          <a:srgbClr val="747678"/>
        </a:solidFill>
      </xdr:spPr>
      <xdr:txBody>
        <a:bodyPr wrap="square" lIns="36000" tIns="0" rIns="36000" bIns="0" rtlCol="0" anchor="ctr">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8</xdr:col>
      <xdr:colOff>45893</xdr:colOff>
      <xdr:row>62</xdr:row>
      <xdr:rowOff>3862</xdr:rowOff>
    </xdr:from>
    <xdr:to>
      <xdr:col>8</xdr:col>
      <xdr:colOff>279893</xdr:colOff>
      <xdr:row>62</xdr:row>
      <xdr:rowOff>237862</xdr:rowOff>
    </xdr:to>
    <xdr:sp macro="" textlink="">
      <xdr:nvSpPr>
        <xdr:cNvPr id="61" name="TextBox 2">
          <a:extLst>
            <a:ext uri="{FF2B5EF4-FFF2-40B4-BE49-F238E27FC236}">
              <a16:creationId xmlns:a16="http://schemas.microsoft.com/office/drawing/2014/main" id="{00000000-0008-0000-0300-00003D000000}"/>
            </a:ext>
          </a:extLst>
        </xdr:cNvPr>
        <xdr:cNvSpPr txBox="1"/>
      </xdr:nvSpPr>
      <xdr:spPr>
        <a:xfrm>
          <a:off x="426893" y="21935175"/>
          <a:ext cx="234000" cy="234000"/>
        </a:xfrm>
        <a:prstGeom prst="rect">
          <a:avLst/>
        </a:prstGeom>
        <a:solidFill>
          <a:schemeClr val="tx1"/>
        </a:solidFill>
      </xdr:spPr>
      <xdr:txBody>
        <a:bodyPr wrap="square" lIns="36000" tIns="0" rIns="36000" bIns="0" rtlCol="0" anchor="ctr">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twoCellAnchor>
    <xdr:from>
      <xdr:col>11</xdr:col>
      <xdr:colOff>47624</xdr:colOff>
      <xdr:row>62</xdr:row>
      <xdr:rowOff>3862</xdr:rowOff>
    </xdr:from>
    <xdr:to>
      <xdr:col>11</xdr:col>
      <xdr:colOff>281624</xdr:colOff>
      <xdr:row>62</xdr:row>
      <xdr:rowOff>237862</xdr:rowOff>
    </xdr:to>
    <xdr:sp macro="" textlink="">
      <xdr:nvSpPr>
        <xdr:cNvPr id="62" name="TextBox 2">
          <a:extLst>
            <a:ext uri="{FF2B5EF4-FFF2-40B4-BE49-F238E27FC236}">
              <a16:creationId xmlns:a16="http://schemas.microsoft.com/office/drawing/2014/main" id="{00000000-0008-0000-0300-00003E000000}"/>
            </a:ext>
          </a:extLst>
        </xdr:cNvPr>
        <xdr:cNvSpPr txBox="1"/>
      </xdr:nvSpPr>
      <xdr:spPr>
        <a:xfrm>
          <a:off x="6953249" y="21935175"/>
          <a:ext cx="234000" cy="234000"/>
        </a:xfrm>
        <a:prstGeom prst="rect">
          <a:avLst/>
        </a:prstGeom>
        <a:solidFill>
          <a:schemeClr val="bg1">
            <a:lumMod val="50000"/>
          </a:schemeClr>
        </a:solidFill>
      </xdr:spPr>
      <xdr:txBody>
        <a:bodyPr wrap="square" lIns="36000" tIns="0" rIns="36000" bIns="0" rtlCol="0" anchor="ctr">
          <a:spAutoFit/>
        </a:bodyPr>
        <a:lstStyle>
          <a:defPPr>
            <a:defRPr lang="en-GB"/>
          </a:defPPr>
          <a:lvl1pPr algn="l" rtl="0" eaLnBrk="0" fontAlgn="base" hangingPunct="0">
            <a:spcBef>
              <a:spcPct val="0"/>
            </a:spcBef>
            <a:spcAft>
              <a:spcPct val="0"/>
            </a:spcAft>
            <a:defRPr sz="1000" b="1" kern="1200">
              <a:solidFill>
                <a:schemeClr val="bg1"/>
              </a:solidFill>
              <a:latin typeface="Arial" charset="0"/>
              <a:ea typeface="+mn-ea"/>
              <a:cs typeface="+mn-cs"/>
            </a:defRPr>
          </a:lvl1pPr>
          <a:lvl2pPr marL="457200" algn="l" rtl="0" eaLnBrk="0" fontAlgn="base" hangingPunct="0">
            <a:spcBef>
              <a:spcPct val="0"/>
            </a:spcBef>
            <a:spcAft>
              <a:spcPct val="0"/>
            </a:spcAft>
            <a:defRPr sz="1000" b="1" kern="1200">
              <a:solidFill>
                <a:schemeClr val="bg1"/>
              </a:solidFill>
              <a:latin typeface="Arial" charset="0"/>
              <a:ea typeface="+mn-ea"/>
              <a:cs typeface="+mn-cs"/>
            </a:defRPr>
          </a:lvl2pPr>
          <a:lvl3pPr marL="914400" algn="l" rtl="0" eaLnBrk="0" fontAlgn="base" hangingPunct="0">
            <a:spcBef>
              <a:spcPct val="0"/>
            </a:spcBef>
            <a:spcAft>
              <a:spcPct val="0"/>
            </a:spcAft>
            <a:defRPr sz="1000" b="1" kern="1200">
              <a:solidFill>
                <a:schemeClr val="bg1"/>
              </a:solidFill>
              <a:latin typeface="Arial" charset="0"/>
              <a:ea typeface="+mn-ea"/>
              <a:cs typeface="+mn-cs"/>
            </a:defRPr>
          </a:lvl3pPr>
          <a:lvl4pPr marL="1371600" algn="l" rtl="0" eaLnBrk="0" fontAlgn="base" hangingPunct="0">
            <a:spcBef>
              <a:spcPct val="0"/>
            </a:spcBef>
            <a:spcAft>
              <a:spcPct val="0"/>
            </a:spcAft>
            <a:defRPr sz="1000" b="1" kern="1200">
              <a:solidFill>
                <a:schemeClr val="bg1"/>
              </a:solidFill>
              <a:latin typeface="Arial" charset="0"/>
              <a:ea typeface="+mn-ea"/>
              <a:cs typeface="+mn-cs"/>
            </a:defRPr>
          </a:lvl4pPr>
          <a:lvl5pPr marL="1828800" algn="l" rtl="0" eaLnBrk="0" fontAlgn="base" hangingPunct="0">
            <a:spcBef>
              <a:spcPct val="0"/>
            </a:spcBef>
            <a:spcAft>
              <a:spcPct val="0"/>
            </a:spcAft>
            <a:defRPr sz="1000" b="1" kern="1200">
              <a:solidFill>
                <a:schemeClr val="bg1"/>
              </a:solidFill>
              <a:latin typeface="Arial" charset="0"/>
              <a:ea typeface="+mn-ea"/>
              <a:cs typeface="+mn-cs"/>
            </a:defRPr>
          </a:lvl5pPr>
          <a:lvl6pPr marL="2286000" algn="l" defTabSz="914400" rtl="0" eaLnBrk="1" latinLnBrk="0" hangingPunct="1">
            <a:defRPr sz="1000" b="1" kern="1200">
              <a:solidFill>
                <a:schemeClr val="bg1"/>
              </a:solidFill>
              <a:latin typeface="Arial" charset="0"/>
              <a:ea typeface="+mn-ea"/>
              <a:cs typeface="+mn-cs"/>
            </a:defRPr>
          </a:lvl6pPr>
          <a:lvl7pPr marL="2743200" algn="l" defTabSz="914400" rtl="0" eaLnBrk="1" latinLnBrk="0" hangingPunct="1">
            <a:defRPr sz="1000" b="1" kern="1200">
              <a:solidFill>
                <a:schemeClr val="bg1"/>
              </a:solidFill>
              <a:latin typeface="Arial" charset="0"/>
              <a:ea typeface="+mn-ea"/>
              <a:cs typeface="+mn-cs"/>
            </a:defRPr>
          </a:lvl7pPr>
          <a:lvl8pPr marL="3200400" algn="l" defTabSz="914400" rtl="0" eaLnBrk="1" latinLnBrk="0" hangingPunct="1">
            <a:defRPr sz="1000" b="1" kern="1200">
              <a:solidFill>
                <a:schemeClr val="bg1"/>
              </a:solidFill>
              <a:latin typeface="Arial" charset="0"/>
              <a:ea typeface="+mn-ea"/>
              <a:cs typeface="+mn-cs"/>
            </a:defRPr>
          </a:lvl8pPr>
          <a:lvl9pPr marL="3657600" algn="l" defTabSz="914400" rtl="0" eaLnBrk="1" latinLnBrk="0" hangingPunct="1">
            <a:defRPr sz="1000" b="1" kern="1200">
              <a:solidFill>
                <a:schemeClr val="bg1"/>
              </a:solidFill>
              <a:latin typeface="Arial" charset="0"/>
              <a:ea typeface="+mn-ea"/>
              <a:cs typeface="+mn-cs"/>
            </a:defRPr>
          </a:lvl9pPr>
        </a:lstStyle>
        <a:p>
          <a:pPr algn="ctr"/>
          <a:r>
            <a:rPr lang="en-GB" sz="1600"/>
            <a: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0</xdr:row>
      <xdr:rowOff>76201</xdr:rowOff>
    </xdr:from>
    <xdr:to>
      <xdr:col>2</xdr:col>
      <xdr:colOff>2153352</xdr:colOff>
      <xdr:row>3</xdr:row>
      <xdr:rowOff>130876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200025" y="76201"/>
          <a:ext cx="4029777" cy="597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22411</xdr:colOff>
      <xdr:row>0</xdr:row>
      <xdr:rowOff>76201</xdr:rowOff>
    </xdr:from>
    <xdr:to>
      <xdr:col>3</xdr:col>
      <xdr:colOff>1143211</xdr:colOff>
      <xdr:row>3</xdr:row>
      <xdr:rowOff>126562</xdr:rowOff>
    </xdr:to>
    <xdr:pic>
      <xdr:nvPicPr>
        <xdr:cNvPr id="2" name="Picture 1" descr="Accounting &amp; Finance">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852"/>
        <a:stretch/>
      </xdr:blipFill>
      <xdr:spPr bwMode="auto">
        <a:xfrm>
          <a:off x="380999" y="76201"/>
          <a:ext cx="2340000" cy="591418"/>
        </a:xfrm>
        <a:prstGeom prst="rect">
          <a:avLst/>
        </a:prstGeom>
        <a:solidFill>
          <a:sysClr val="window" lastClr="FFFFFF"/>
        </a:solid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0</xdr:col>
      <xdr:colOff>2493516</xdr:colOff>
      <xdr:row>3</xdr:row>
      <xdr:rowOff>147918</xdr:rowOff>
    </xdr:to>
    <xdr:pic>
      <xdr:nvPicPr>
        <xdr:cNvPr id="2" name="Picture 1" descr="Accounting &amp; Finance">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852"/>
        <a:stretch/>
      </xdr:blipFill>
      <xdr:spPr bwMode="auto">
        <a:xfrm>
          <a:off x="76200" y="76200"/>
          <a:ext cx="2417316" cy="614643"/>
        </a:xfrm>
        <a:prstGeom prst="rect">
          <a:avLst/>
        </a:prstGeom>
        <a:solidFill>
          <a:sysClr val="window" lastClr="FFFFFF"/>
        </a:solidFill>
        <a:ln>
          <a:noFill/>
        </a:ln>
      </xdr:spPr>
    </xdr:pic>
    <xdr:clientData/>
  </xdr:twoCellAnchor>
  <xdr:twoCellAnchor>
    <xdr:from>
      <xdr:col>29</xdr:col>
      <xdr:colOff>43142</xdr:colOff>
      <xdr:row>22</xdr:row>
      <xdr:rowOff>38379</xdr:rowOff>
    </xdr:from>
    <xdr:to>
      <xdr:col>34</xdr:col>
      <xdr:colOff>208107</xdr:colOff>
      <xdr:row>37</xdr:row>
      <xdr:rowOff>59754</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xdr:col>
      <xdr:colOff>265579</xdr:colOff>
      <xdr:row>22</xdr:row>
      <xdr:rowOff>38379</xdr:rowOff>
    </xdr:from>
    <xdr:to>
      <xdr:col>40</xdr:col>
      <xdr:colOff>226036</xdr:colOff>
      <xdr:row>37</xdr:row>
      <xdr:rowOff>59754</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275104</xdr:colOff>
      <xdr:row>22</xdr:row>
      <xdr:rowOff>38379</xdr:rowOff>
    </xdr:from>
    <xdr:to>
      <xdr:col>44</xdr:col>
      <xdr:colOff>593029</xdr:colOff>
      <xdr:row>37</xdr:row>
      <xdr:rowOff>59754</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45</xdr:col>
      <xdr:colOff>22411</xdr:colOff>
      <xdr:row>22</xdr:row>
      <xdr:rowOff>38379</xdr:rowOff>
    </xdr:from>
    <xdr:to>
      <xdr:col>51</xdr:col>
      <xdr:colOff>25941</xdr:colOff>
      <xdr:row>37</xdr:row>
      <xdr:rowOff>59754</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44</xdr:col>
      <xdr:colOff>437029</xdr:colOff>
      <xdr:row>39</xdr:row>
      <xdr:rowOff>12325</xdr:rowOff>
    </xdr:from>
    <xdr:to>
      <xdr:col>53</xdr:col>
      <xdr:colOff>459441</xdr:colOff>
      <xdr:row>49</xdr:row>
      <xdr:rowOff>58119</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44</xdr:col>
      <xdr:colOff>437029</xdr:colOff>
      <xdr:row>49</xdr:row>
      <xdr:rowOff>75078</xdr:rowOff>
    </xdr:from>
    <xdr:to>
      <xdr:col>53</xdr:col>
      <xdr:colOff>459441</xdr:colOff>
      <xdr:row>55</xdr:row>
      <xdr:rowOff>59284</xdr:rowOff>
    </xdr:to>
    <xdr:graphicFrame macro="">
      <xdr:nvGraphicFramePr>
        <xdr:cNvPr id="8" name="Chart 7">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editAs="oneCell">
        <xdr:from>
          <xdr:col>42</xdr:col>
          <xdr:colOff>88900</xdr:colOff>
          <xdr:row>40</xdr:row>
          <xdr:rowOff>38100</xdr:rowOff>
        </xdr:from>
        <xdr:to>
          <xdr:col>44</xdr:col>
          <xdr:colOff>228600</xdr:colOff>
          <xdr:row>40</xdr:row>
          <xdr:rowOff>184150</xdr:rowOff>
        </xdr:to>
        <xdr:sp macro="" textlink="">
          <xdr:nvSpPr>
            <xdr:cNvPr id="5121" name="Scroll Bar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88900</xdr:colOff>
          <xdr:row>41</xdr:row>
          <xdr:rowOff>25400</xdr:rowOff>
        </xdr:from>
        <xdr:to>
          <xdr:col>44</xdr:col>
          <xdr:colOff>228600</xdr:colOff>
          <xdr:row>41</xdr:row>
          <xdr:rowOff>152400</xdr:rowOff>
        </xdr:to>
        <xdr:sp macro="" textlink="">
          <xdr:nvSpPr>
            <xdr:cNvPr id="5122" name="Scroll Bar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88900</xdr:colOff>
          <xdr:row>42</xdr:row>
          <xdr:rowOff>31750</xdr:rowOff>
        </xdr:from>
        <xdr:to>
          <xdr:col>44</xdr:col>
          <xdr:colOff>228600</xdr:colOff>
          <xdr:row>42</xdr:row>
          <xdr:rowOff>177800</xdr:rowOff>
        </xdr:to>
        <xdr:sp macro="" textlink="">
          <xdr:nvSpPr>
            <xdr:cNvPr id="5123" name="Scroll Bar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88900</xdr:colOff>
          <xdr:row>43</xdr:row>
          <xdr:rowOff>38100</xdr:rowOff>
        </xdr:from>
        <xdr:to>
          <xdr:col>44</xdr:col>
          <xdr:colOff>228600</xdr:colOff>
          <xdr:row>43</xdr:row>
          <xdr:rowOff>184150</xdr:rowOff>
        </xdr:to>
        <xdr:sp macro="" textlink="">
          <xdr:nvSpPr>
            <xdr:cNvPr id="5124" name="Scroll Bar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88900</xdr:colOff>
          <xdr:row>47</xdr:row>
          <xdr:rowOff>38100</xdr:rowOff>
        </xdr:from>
        <xdr:to>
          <xdr:col>44</xdr:col>
          <xdr:colOff>228600</xdr:colOff>
          <xdr:row>47</xdr:row>
          <xdr:rowOff>184150</xdr:rowOff>
        </xdr:to>
        <xdr:sp macro="" textlink="">
          <xdr:nvSpPr>
            <xdr:cNvPr id="5125" name="Scroll Bar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88900</xdr:colOff>
          <xdr:row>48</xdr:row>
          <xdr:rowOff>69850</xdr:rowOff>
        </xdr:from>
        <xdr:to>
          <xdr:col>44</xdr:col>
          <xdr:colOff>228600</xdr:colOff>
          <xdr:row>49</xdr:row>
          <xdr:rowOff>25400</xdr:rowOff>
        </xdr:to>
        <xdr:sp macro="" textlink="">
          <xdr:nvSpPr>
            <xdr:cNvPr id="5126" name="Scroll Bar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88900</xdr:colOff>
          <xdr:row>49</xdr:row>
          <xdr:rowOff>69850</xdr:rowOff>
        </xdr:from>
        <xdr:to>
          <xdr:col>44</xdr:col>
          <xdr:colOff>228600</xdr:colOff>
          <xdr:row>50</xdr:row>
          <xdr:rowOff>25400</xdr:rowOff>
        </xdr:to>
        <xdr:sp macro="" textlink="">
          <xdr:nvSpPr>
            <xdr:cNvPr id="5127" name="Scroll Bar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88900</xdr:colOff>
          <xdr:row>50</xdr:row>
          <xdr:rowOff>69850</xdr:rowOff>
        </xdr:from>
        <xdr:to>
          <xdr:col>44</xdr:col>
          <xdr:colOff>228600</xdr:colOff>
          <xdr:row>51</xdr:row>
          <xdr:rowOff>25400</xdr:rowOff>
        </xdr:to>
        <xdr:sp macro="" textlink="">
          <xdr:nvSpPr>
            <xdr:cNvPr id="5128" name="Scroll Bar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8.xml><?xml version="1.0" encoding="utf-8"?>
<c:userShapes xmlns:c="http://schemas.openxmlformats.org/drawingml/2006/chart">
  <cdr:relSizeAnchor xmlns:cdr="http://schemas.openxmlformats.org/drawingml/2006/chartDrawing">
    <cdr:from>
      <cdr:x>0.46674</cdr:x>
      <cdr:y>0.93495</cdr:y>
    </cdr:from>
    <cdr:to>
      <cdr:x>0.59033</cdr:x>
      <cdr:y>0.98021</cdr:y>
    </cdr:to>
    <cdr:sp macro="" textlink="">
      <cdr:nvSpPr>
        <cdr:cNvPr id="2" name="TextBox 1">
          <a:extLst xmlns:a="http://schemas.openxmlformats.org/drawingml/2006/main">
            <a:ext uri="{FF2B5EF4-FFF2-40B4-BE49-F238E27FC236}">
              <a16:creationId xmlns:a16="http://schemas.microsoft.com/office/drawing/2014/main" id="{102E9E70-FF9D-48DE-B289-B3D7745885CB}"/>
            </a:ext>
          </a:extLst>
        </cdr:cNvPr>
        <cdr:cNvSpPr txBox="1"/>
      </cdr:nvSpPr>
      <cdr:spPr>
        <a:xfrm xmlns:a="http://schemas.openxmlformats.org/drawingml/2006/main">
          <a:off x="1495425" y="2558016"/>
          <a:ext cx="396000" cy="1238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tx2"/>
              </a:solidFill>
              <a:latin typeface="Arial" panose="020B0604020202020204" pitchFamily="34" charset="0"/>
              <a:cs typeface="Arial" panose="020B0604020202020204" pitchFamily="34" charset="0"/>
            </a:rPr>
            <a:t>LOWER</a:t>
          </a:r>
        </a:p>
      </cdr:txBody>
    </cdr:sp>
  </cdr:relSizeAnchor>
  <cdr:relSizeAnchor xmlns:cdr="http://schemas.openxmlformats.org/drawingml/2006/chartDrawing">
    <cdr:from>
      <cdr:x>0.64808</cdr:x>
      <cdr:y>0.93495</cdr:y>
    </cdr:from>
    <cdr:to>
      <cdr:x>0.7155</cdr:x>
      <cdr:y>0.98021</cdr:y>
    </cdr:to>
    <cdr:sp macro="" textlink="">
      <cdr:nvSpPr>
        <cdr:cNvPr id="3" name="TextBox 2">
          <a:extLst xmlns:a="http://schemas.openxmlformats.org/drawingml/2006/main">
            <a:ext uri="{FF2B5EF4-FFF2-40B4-BE49-F238E27FC236}">
              <a16:creationId xmlns:a16="http://schemas.microsoft.com/office/drawing/2014/main" id="{870E874D-6CE1-44E2-B58C-015EA6F1E8E0}"/>
            </a:ext>
          </a:extLst>
        </cdr:cNvPr>
        <cdr:cNvSpPr txBox="1"/>
      </cdr:nvSpPr>
      <cdr:spPr>
        <a:xfrm xmlns:a="http://schemas.openxmlformats.org/drawingml/2006/main">
          <a:off x="2076450" y="2558016"/>
          <a:ext cx="216000" cy="123825"/>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accent2"/>
              </a:solidFill>
              <a:latin typeface="Arial" panose="020B0604020202020204" pitchFamily="34" charset="0"/>
              <a:cs typeface="Arial" panose="020B0604020202020204" pitchFamily="34" charset="0"/>
            </a:rPr>
            <a:t>MID</a:t>
          </a:r>
        </a:p>
      </cdr:txBody>
    </cdr:sp>
  </cdr:relSizeAnchor>
  <cdr:relSizeAnchor xmlns:cdr="http://schemas.openxmlformats.org/drawingml/2006/chartDrawing">
    <cdr:from>
      <cdr:x>0.75602</cdr:x>
      <cdr:y>0.93495</cdr:y>
    </cdr:from>
    <cdr:to>
      <cdr:x>0.87961</cdr:x>
      <cdr:y>0.98021</cdr:y>
    </cdr:to>
    <cdr:sp macro="" textlink="">
      <cdr:nvSpPr>
        <cdr:cNvPr id="4" name="TextBox 3">
          <a:extLst xmlns:a="http://schemas.openxmlformats.org/drawingml/2006/main">
            <a:ext uri="{FF2B5EF4-FFF2-40B4-BE49-F238E27FC236}">
              <a16:creationId xmlns:a16="http://schemas.microsoft.com/office/drawing/2014/main" id="{D112C897-88E8-4F3A-8B61-335DAE9CDF48}"/>
            </a:ext>
          </a:extLst>
        </cdr:cNvPr>
        <cdr:cNvSpPr txBox="1"/>
      </cdr:nvSpPr>
      <cdr:spPr>
        <a:xfrm xmlns:a="http://schemas.openxmlformats.org/drawingml/2006/main">
          <a:off x="2429063" y="2534450"/>
          <a:ext cx="397090" cy="12269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accent3"/>
              </a:solidFill>
              <a:latin typeface="Arial" panose="020B0604020202020204" pitchFamily="34" charset="0"/>
              <a:cs typeface="Arial" panose="020B0604020202020204" pitchFamily="34" charset="0"/>
            </a:rPr>
            <a:t>UPPER</a:t>
          </a:r>
        </a:p>
      </cdr:txBody>
    </cdr:sp>
  </cdr:relSizeAnchor>
</c:userShapes>
</file>

<file path=xl/drawings/drawing9.xml><?xml version="1.0" encoding="utf-8"?>
<c:userShapes xmlns:c="http://schemas.openxmlformats.org/drawingml/2006/chart">
  <cdr:relSizeAnchor xmlns:cdr="http://schemas.openxmlformats.org/drawingml/2006/chartDrawing">
    <cdr:from>
      <cdr:x>0.55814</cdr:x>
      <cdr:y>0.93495</cdr:y>
    </cdr:from>
    <cdr:to>
      <cdr:x>0.68173</cdr:x>
      <cdr:y>0.98021</cdr:y>
    </cdr:to>
    <cdr:sp macro="" textlink="">
      <cdr:nvSpPr>
        <cdr:cNvPr id="2" name="TextBox 1">
          <a:extLst xmlns:a="http://schemas.openxmlformats.org/drawingml/2006/main">
            <a:ext uri="{FF2B5EF4-FFF2-40B4-BE49-F238E27FC236}">
              <a16:creationId xmlns:a16="http://schemas.microsoft.com/office/drawing/2014/main" id="{102E9E70-FF9D-48DE-B289-B3D7745885CB}"/>
            </a:ext>
          </a:extLst>
        </cdr:cNvPr>
        <cdr:cNvSpPr txBox="1"/>
      </cdr:nvSpPr>
      <cdr:spPr>
        <a:xfrm xmlns:a="http://schemas.openxmlformats.org/drawingml/2006/main">
          <a:off x="1779204" y="2534450"/>
          <a:ext cx="393974" cy="12269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tx2"/>
              </a:solidFill>
              <a:latin typeface="Arial" panose="020B0604020202020204" pitchFamily="34" charset="0"/>
              <a:cs typeface="Arial" panose="020B0604020202020204" pitchFamily="34" charset="0"/>
            </a:rPr>
            <a:t>LOWER</a:t>
          </a:r>
        </a:p>
      </cdr:txBody>
    </cdr:sp>
  </cdr:relSizeAnchor>
  <cdr:relSizeAnchor xmlns:cdr="http://schemas.openxmlformats.org/drawingml/2006/chartDrawing">
    <cdr:from>
      <cdr:x>0.73948</cdr:x>
      <cdr:y>0.93495</cdr:y>
    </cdr:from>
    <cdr:to>
      <cdr:x>0.8069</cdr:x>
      <cdr:y>0.98021</cdr:y>
    </cdr:to>
    <cdr:sp macro="" textlink="">
      <cdr:nvSpPr>
        <cdr:cNvPr id="3" name="TextBox 2">
          <a:extLst xmlns:a="http://schemas.openxmlformats.org/drawingml/2006/main">
            <a:ext uri="{FF2B5EF4-FFF2-40B4-BE49-F238E27FC236}">
              <a16:creationId xmlns:a16="http://schemas.microsoft.com/office/drawing/2014/main" id="{870E874D-6CE1-44E2-B58C-015EA6F1E8E0}"/>
            </a:ext>
          </a:extLst>
        </cdr:cNvPr>
        <cdr:cNvSpPr txBox="1"/>
      </cdr:nvSpPr>
      <cdr:spPr>
        <a:xfrm xmlns:a="http://schemas.openxmlformats.org/drawingml/2006/main">
          <a:off x="2357271" y="2534450"/>
          <a:ext cx="214918" cy="12269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accent2"/>
              </a:solidFill>
              <a:latin typeface="Arial" panose="020B0604020202020204" pitchFamily="34" charset="0"/>
              <a:cs typeface="Arial" panose="020B0604020202020204" pitchFamily="34" charset="0"/>
            </a:rPr>
            <a:t>MID</a:t>
          </a:r>
        </a:p>
      </cdr:txBody>
    </cdr:sp>
  </cdr:relSizeAnchor>
  <cdr:relSizeAnchor xmlns:cdr="http://schemas.openxmlformats.org/drawingml/2006/chartDrawing">
    <cdr:from>
      <cdr:x>0.81918</cdr:x>
      <cdr:y>0.93495</cdr:y>
    </cdr:from>
    <cdr:to>
      <cdr:x>0.94277</cdr:x>
      <cdr:y>0.98021</cdr:y>
    </cdr:to>
    <cdr:sp macro="" textlink="">
      <cdr:nvSpPr>
        <cdr:cNvPr id="4" name="TextBox 3">
          <a:extLst xmlns:a="http://schemas.openxmlformats.org/drawingml/2006/main">
            <a:ext uri="{FF2B5EF4-FFF2-40B4-BE49-F238E27FC236}">
              <a16:creationId xmlns:a16="http://schemas.microsoft.com/office/drawing/2014/main" id="{D112C897-88E8-4F3A-8B61-335DAE9CDF48}"/>
            </a:ext>
          </a:extLst>
        </cdr:cNvPr>
        <cdr:cNvSpPr txBox="1"/>
      </cdr:nvSpPr>
      <cdr:spPr>
        <a:xfrm xmlns:a="http://schemas.openxmlformats.org/drawingml/2006/main">
          <a:off x="2611355" y="2534450"/>
          <a:ext cx="393974" cy="12269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GB" sz="800" b="1">
              <a:solidFill>
                <a:schemeClr val="accent3"/>
              </a:solidFill>
              <a:latin typeface="Arial" panose="020B0604020202020204" pitchFamily="34" charset="0"/>
              <a:cs typeface="Arial" panose="020B0604020202020204" pitchFamily="34" charset="0"/>
            </a:rPr>
            <a:t>UPPER</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R:\Investor%20Relations\Investor%20presentations\POWERBOOK%20MASTER.xlsx" TargetMode="External"/><Relationship Id="rId1" Type="http://schemas.openxmlformats.org/officeDocument/2006/relationships/externalLinkPath" Target="/Investor%20Relations/Investor%20presentations/POWERBOOK%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Tearsheet"/>
      <sheetName val="QTR Dashboard"/>
      <sheetName val="Interims"/>
      <sheetName val="Quarters"/>
      <sheetName val="Sheet2"/>
      <sheetName val="Historicals (old)"/>
      <sheetName val="Trend analysis (LFL)"/>
      <sheetName val="Sheet1"/>
      <sheetName val="Historicals"/>
      <sheetName val="Headcount"/>
      <sheetName val="Tables"/>
      <sheetName val="# 10 &amp; 31"/>
      <sheetName val="# 10 &amp; 31 Data"/>
      <sheetName val="# 6-9 (2)"/>
      <sheetName val="Regions"/>
      <sheetName val="# 7-10"/>
      <sheetName val="Top right charts"/>
      <sheetName val="Cash Slides"/>
      <sheetName val="Cribsheet"/>
      <sheetName val="Cribsheet (2)"/>
      <sheetName val="NF-OP-EPS"/>
      <sheetName val="NF-OP-EPS (Old)"/>
      <sheetName val="Cribsheet workings"/>
      <sheetName val="# 13 &amp; 15"/>
      <sheetName val="Slide 22"/>
      <sheetName val="Strategy slides"/>
      <sheetName val="Country data"/>
      <sheetName val="# 36"/>
      <sheetName val="# 42"/>
      <sheetName val="# 40"/>
      <sheetName val="# 64"/>
      <sheetName val="ANZ &amp; Ger CCy"/>
      <sheetName val="Segments"/>
      <sheetName val="Factsheet"/>
      <sheetName val="# 6-9 (old)"/>
      <sheetName val="Net Fees HY Growth"/>
      <sheetName val="Op profit bridge"/>
      <sheetName val="Headcount bridge"/>
      <sheetName val="Group charts"/>
      <sheetName val="Germany"/>
      <sheetName val="Governance"/>
      <sheetName val="Engagement"/>
      <sheetName val="GHG"/>
      <sheetName val="Net Zero"/>
      <sheetName val="Meetings"/>
      <sheetName val="Institutions met"/>
      <sheetName val="Accountancy"/>
      <sheetName val="PV cribsheet"/>
      <sheetName val="Divsn Qtr"/>
    </sheetNames>
    <sheetDataSet>
      <sheetData sheetId="0"/>
      <sheetData sheetId="1"/>
      <sheetData sheetId="2">
        <row r="19">
          <cell r="BO19">
            <v>3410.6678322999423</v>
          </cell>
          <cell r="BP19">
            <v>6949.1</v>
          </cell>
          <cell r="BQ19">
            <v>3365.3501389938169</v>
          </cell>
          <cell r="BR19">
            <v>3241.6498610061835</v>
          </cell>
          <cell r="BS19">
            <v>6607</v>
          </cell>
        </row>
        <row r="29">
          <cell r="BO29">
            <v>65.394313109729254</v>
          </cell>
          <cell r="BP29">
            <v>139.69814717396741</v>
          </cell>
          <cell r="BQ29">
            <v>60.432910302809894</v>
          </cell>
          <cell r="BR29">
            <v>55.800035921203424</v>
          </cell>
          <cell r="BS29">
            <v>116.23294622401332</v>
          </cell>
        </row>
        <row r="30">
          <cell r="BO30">
            <v>165.59273321817801</v>
          </cell>
          <cell r="BP30">
            <v>351.83942323573763</v>
          </cell>
          <cell r="BQ30">
            <v>157.08320577658614</v>
          </cell>
          <cell r="BR30">
            <v>151.85624107164685</v>
          </cell>
          <cell r="BS30">
            <v>308.93944684823299</v>
          </cell>
        </row>
        <row r="31">
          <cell r="BO31">
            <v>107.57485068853779</v>
          </cell>
          <cell r="BP31">
            <v>225.68036663809917</v>
          </cell>
          <cell r="BQ31">
            <v>97.436773613198667</v>
          </cell>
          <cell r="BR31">
            <v>94.730370191769921</v>
          </cell>
          <cell r="BS31">
            <v>192.16714380496859</v>
          </cell>
        </row>
        <row r="32">
          <cell r="BO32">
            <v>191.72047131475546</v>
          </cell>
          <cell r="BP32">
            <v>396.38996068619133</v>
          </cell>
          <cell r="BQ32">
            <v>181.10940777332738</v>
          </cell>
          <cell r="BR32">
            <v>174.01590288472212</v>
          </cell>
          <cell r="BS32">
            <v>355.1253106580495</v>
          </cell>
        </row>
        <row r="33">
          <cell r="BO33">
            <v>530.28236833120047</v>
          </cell>
          <cell r="BP33">
            <v>1113.6078977339955</v>
          </cell>
          <cell r="BQ33">
            <v>495.96229746592201</v>
          </cell>
          <cell r="BR33">
            <v>476.30255006934226</v>
          </cell>
          <cell r="BS33">
            <v>972.3648475352644</v>
          </cell>
        </row>
        <row r="38">
          <cell r="BO38">
            <v>320.49999999999994</v>
          </cell>
          <cell r="BP38">
            <v>662.09999999999991</v>
          </cell>
          <cell r="BQ38">
            <v>305.70946989083592</v>
          </cell>
          <cell r="BR38">
            <v>298.29053010916408</v>
          </cell>
          <cell r="BS38">
            <v>604</v>
          </cell>
        </row>
        <row r="39">
          <cell r="BO39">
            <v>209.8</v>
          </cell>
          <cell r="BP39">
            <v>451.5</v>
          </cell>
          <cell r="BQ39">
            <v>190.25282757508617</v>
          </cell>
          <cell r="BR39">
            <v>178.1471724249138</v>
          </cell>
          <cell r="BS39">
            <v>368.4</v>
          </cell>
        </row>
        <row r="40">
          <cell r="BO40">
            <v>530.28236833120047</v>
          </cell>
          <cell r="BP40">
            <v>1113.6078977339955</v>
          </cell>
          <cell r="BQ40">
            <v>495.96229746592201</v>
          </cell>
          <cell r="BR40">
            <v>476.30255006934226</v>
          </cell>
          <cell r="BS40">
            <v>972.3648475352644</v>
          </cell>
        </row>
        <row r="54">
          <cell r="BO54">
            <v>-5.5286029338490703</v>
          </cell>
          <cell r="BP54">
            <v>-11.0182845146768</v>
          </cell>
          <cell r="BQ54">
            <v>-4.80283361434432</v>
          </cell>
          <cell r="BR54">
            <v>-4.7073695139595797</v>
          </cell>
          <cell r="BS54">
            <v>-9.5102031283038997</v>
          </cell>
        </row>
        <row r="55">
          <cell r="BO55">
            <v>-22.23648336604144</v>
          </cell>
          <cell r="BP55">
            <v>-45.929429081921803</v>
          </cell>
          <cell r="BQ55">
            <v>-22.649439810211078</v>
          </cell>
          <cell r="BR55">
            <v>-22.112286190183426</v>
          </cell>
          <cell r="BS55">
            <v>-44.761726000394503</v>
          </cell>
        </row>
        <row r="56">
          <cell r="BO56">
            <v>-3.8328542542409902</v>
          </cell>
          <cell r="BP56">
            <v>-9.2303317628911206</v>
          </cell>
          <cell r="BQ56">
            <v>-4.6477196860444501</v>
          </cell>
          <cell r="BR56">
            <v>-3.8586011471971613</v>
          </cell>
          <cell r="BS56">
            <v>-8.5063208332416114</v>
          </cell>
        </row>
        <row r="57">
          <cell r="BO57">
            <v>-485.32410616657023</v>
          </cell>
          <cell r="BP57">
            <v>-1008.5296284566243</v>
          </cell>
          <cell r="BQ57">
            <v>-470.50482450886921</v>
          </cell>
          <cell r="BR57">
            <v>-456.11090235434847</v>
          </cell>
          <cell r="BS57">
            <v>-926.71572686321781</v>
          </cell>
        </row>
        <row r="59">
          <cell r="BO59">
            <v>5.1490821015363641</v>
          </cell>
          <cell r="BP59">
            <v>11.549104895023017</v>
          </cell>
          <cell r="BQ59">
            <v>1.3635332364050248</v>
          </cell>
          <cell r="BR59">
            <v>2.2371852066377693</v>
          </cell>
          <cell r="BS59">
            <v>3.6007184430427941</v>
          </cell>
        </row>
        <row r="60">
          <cell r="BO60">
            <v>27.231826359315384</v>
          </cell>
          <cell r="BP60">
            <v>68.020076914548881</v>
          </cell>
          <cell r="BQ60">
            <v>27.542769547425291</v>
          </cell>
          <cell r="BR60">
            <v>24.51662561582587</v>
          </cell>
          <cell r="BS60">
            <v>52.05939516325116</v>
          </cell>
        </row>
        <row r="61">
          <cell r="BO61">
            <v>0.6813906960280498</v>
          </cell>
          <cell r="BP61">
            <v>6.4090874677992442</v>
          </cell>
          <cell r="BQ61">
            <v>-6.5132380382085753</v>
          </cell>
          <cell r="BR61">
            <v>0.75873151455871835</v>
          </cell>
          <cell r="BS61">
            <v>-5.7545065236498569</v>
          </cell>
        </row>
        <row r="62">
          <cell r="BO62">
            <v>11.995963007750417</v>
          </cell>
          <cell r="BP62">
            <v>19.2</v>
          </cell>
          <cell r="BQ62">
            <v>3.0644082114310587</v>
          </cell>
          <cell r="BR62">
            <v>-7.3208946220285744</v>
          </cell>
          <cell r="BS62">
            <v>-4.2564864105975158</v>
          </cell>
        </row>
        <row r="63">
          <cell r="BO63">
            <v>44.95826216463022</v>
          </cell>
          <cell r="BP63">
            <v>105.07826927737115</v>
          </cell>
          <cell r="BQ63">
            <v>25.457472957052801</v>
          </cell>
          <cell r="BR63">
            <v>20.191647714993781</v>
          </cell>
          <cell r="BS63">
            <v>45.649120672046578</v>
          </cell>
        </row>
        <row r="70">
          <cell r="BO70">
            <v>-2.5999999999999996</v>
          </cell>
          <cell r="BP70">
            <v>-5.3</v>
          </cell>
          <cell r="BQ70">
            <v>-0.6</v>
          </cell>
          <cell r="BR70">
            <v>-0.70000000000000007</v>
          </cell>
          <cell r="BS70">
            <v>-1.3</v>
          </cell>
        </row>
        <row r="71">
          <cell r="BO71">
            <v>-21.1</v>
          </cell>
          <cell r="BP71">
            <v>-23.6</v>
          </cell>
          <cell r="BQ71">
            <v>-4.3</v>
          </cell>
          <cell r="BR71">
            <v>-4.7</v>
          </cell>
          <cell r="BS71">
            <v>-9</v>
          </cell>
        </row>
        <row r="72">
          <cell r="BO72">
            <v>-5.6999999999999993</v>
          </cell>
          <cell r="BP72">
            <v>-7.3</v>
          </cell>
          <cell r="BQ72">
            <v>-3.2</v>
          </cell>
          <cell r="BR72">
            <v>-3.0999999999999996</v>
          </cell>
          <cell r="BS72">
            <v>-6.3</v>
          </cell>
        </row>
        <row r="73">
          <cell r="BO73">
            <v>-22.699999999999996</v>
          </cell>
          <cell r="BP73">
            <v>-43.8</v>
          </cell>
          <cell r="BQ73">
            <v>-1.8</v>
          </cell>
          <cell r="BR73">
            <v>-12.299999999999999</v>
          </cell>
          <cell r="BS73">
            <v>-14.1</v>
          </cell>
        </row>
        <row r="74">
          <cell r="BO74">
            <v>-52.099999999999994</v>
          </cell>
          <cell r="BP74">
            <v>-80</v>
          </cell>
          <cell r="BQ74">
            <v>-9.9</v>
          </cell>
          <cell r="BR74">
            <v>-20.800000000000004</v>
          </cell>
          <cell r="BS74">
            <v>-30.700000000000003</v>
          </cell>
        </row>
        <row r="77">
          <cell r="BO77">
            <v>-5.8000000000000007</v>
          </cell>
          <cell r="BP77">
            <v>-10.4</v>
          </cell>
          <cell r="BQ77">
            <v>-6.5</v>
          </cell>
          <cell r="BR77">
            <v>-6.9</v>
          </cell>
          <cell r="BS77">
            <v>-13.4</v>
          </cell>
        </row>
        <row r="80">
          <cell r="BO80">
            <v>39.158262164630216</v>
          </cell>
          <cell r="BP80">
            <v>94.678269277371143</v>
          </cell>
          <cell r="BQ80">
            <v>18.957472957052801</v>
          </cell>
          <cell r="BR80">
            <v>13.291647714993779</v>
          </cell>
          <cell r="BS80">
            <v>32.24912067204658</v>
          </cell>
        </row>
        <row r="81">
          <cell r="BO81">
            <v>39.158262164630216</v>
          </cell>
          <cell r="BP81">
            <v>14.678269277371149</v>
          </cell>
          <cell r="BQ81">
            <v>9.0574729570528003</v>
          </cell>
          <cell r="BR81">
            <v>-7.5083522850062234</v>
          </cell>
          <cell r="BS81">
            <v>1.5491206720465751</v>
          </cell>
        </row>
        <row r="83">
          <cell r="BO83">
            <v>-12.2</v>
          </cell>
          <cell r="BP83">
            <v>-30</v>
          </cell>
          <cell r="BQ83">
            <v>-6.6</v>
          </cell>
          <cell r="BR83">
            <v>-4.7000000000000011</v>
          </cell>
          <cell r="BS83">
            <v>-11.3</v>
          </cell>
        </row>
        <row r="84">
          <cell r="BO84">
            <v>8.6999999999999993</v>
          </cell>
          <cell r="BP84">
            <v>11.2</v>
          </cell>
          <cell r="BQ84">
            <v>0</v>
          </cell>
          <cell r="BR84">
            <v>0</v>
          </cell>
          <cell r="BS84">
            <v>0</v>
          </cell>
        </row>
        <row r="85">
          <cell r="BO85">
            <v>-3.5</v>
          </cell>
          <cell r="BP85">
            <v>-18.8</v>
          </cell>
          <cell r="BQ85">
            <v>-6.6</v>
          </cell>
          <cell r="BR85">
            <v>-4.7000000000000011</v>
          </cell>
          <cell r="BS85">
            <v>-11.3</v>
          </cell>
        </row>
        <row r="86">
          <cell r="BO86">
            <v>-16.441737835369779</v>
          </cell>
          <cell r="BP86">
            <v>-4.1217307226288522</v>
          </cell>
          <cell r="BQ86">
            <v>2.4574729570528007</v>
          </cell>
          <cell r="BR86">
            <v>-12.208352285006224</v>
          </cell>
          <cell r="BS86">
            <v>-9.7508793279534256</v>
          </cell>
        </row>
        <row r="95">
          <cell r="BP95">
            <v>1586.6</v>
          </cell>
          <cell r="BQ95">
            <v>1586.6</v>
          </cell>
        </row>
        <row r="96">
          <cell r="BP96">
            <v>1600.3</v>
          </cell>
          <cell r="BQ96">
            <v>1600.3</v>
          </cell>
        </row>
        <row r="99">
          <cell r="BO99">
            <v>1.6600000000000001</v>
          </cell>
          <cell r="BP99">
            <v>4.03</v>
          </cell>
          <cell r="BQ99">
            <v>0.81</v>
          </cell>
          <cell r="BR99">
            <v>0.5</v>
          </cell>
          <cell r="BS99">
            <v>1.31</v>
          </cell>
        </row>
        <row r="100">
          <cell r="BO100">
            <v>1.676100552495023</v>
          </cell>
          <cell r="BQ100">
            <v>0.8</v>
          </cell>
          <cell r="BR100">
            <v>0.5</v>
          </cell>
          <cell r="BS100">
            <v>1.3</v>
          </cell>
        </row>
        <row r="103">
          <cell r="BO103">
            <v>2.0499999999999998</v>
          </cell>
        </row>
        <row r="104">
          <cell r="BO104">
            <v>0</v>
          </cell>
        </row>
        <row r="105">
          <cell r="BO105">
            <v>2.0499999999999998</v>
          </cell>
          <cell r="BP105">
            <v>3</v>
          </cell>
        </row>
        <row r="208">
          <cell r="BO208">
            <v>7.8738989014173047E-2</v>
          </cell>
          <cell r="BP208">
            <v>8.1671854485233855E-2</v>
          </cell>
          <cell r="BQ208">
            <v>2.2562759754127311E-2</v>
          </cell>
          <cell r="BR208">
            <v>4.0092899040368946E-2</v>
          </cell>
          <cell r="BS208">
            <v>3.0978466605356497E-2</v>
          </cell>
        </row>
        <row r="209">
          <cell r="BO209">
            <v>0.16445061223451077</v>
          </cell>
          <cell r="BP209">
            <v>0.19332704757469552</v>
          </cell>
          <cell r="BQ209">
            <v>0.17533872835902262</v>
          </cell>
          <cell r="BR209">
            <v>0.16144628263423663</v>
          </cell>
          <cell r="BS209">
            <v>0.16851002905053242</v>
          </cell>
        </row>
        <row r="210">
          <cell r="BO210">
            <v>6.3341077553608228E-3</v>
          </cell>
          <cell r="BP210">
            <v>2.8398958949215333E-2</v>
          </cell>
          <cell r="BQ210">
            <v>-6.6845789291675603E-2</v>
          </cell>
          <cell r="BR210">
            <v>8.0093798115932636E-3</v>
          </cell>
          <cell r="BS210">
            <v>-2.9945319526058705E-2</v>
          </cell>
        </row>
        <row r="211">
          <cell r="BO211">
            <v>6.2570068420373048E-2</v>
          </cell>
          <cell r="BP211">
            <v>4.8437150039730689E-2</v>
          </cell>
          <cell r="BQ211">
            <v>1.692020447257166E-2</v>
          </cell>
          <cell r="BR211">
            <v>-4.2070261974150404E-2</v>
          </cell>
          <cell r="BS211">
            <v>-1.1985871698951052E-2</v>
          </cell>
        </row>
        <row r="212">
          <cell r="BO212">
            <v>8.4781740539693881E-2</v>
          </cell>
          <cell r="BP212">
            <v>9.4358408818029871E-2</v>
          </cell>
          <cell r="BQ212">
            <v>5.1329452031183893E-2</v>
          </cell>
          <cell r="BR212">
            <v>4.2392482912497927E-2</v>
          </cell>
          <cell r="BS212">
            <v>4.6946494196861678E-2</v>
          </cell>
        </row>
        <row r="245">
          <cell r="BO245">
            <v>-8.8909354267411977E-2</v>
          </cell>
          <cell r="BP245">
            <v>-5.9635500808963224E-2</v>
          </cell>
          <cell r="BQ245">
            <v>-2.8931932958256853E-2</v>
          </cell>
          <cell r="BR245">
            <v>-0.03</v>
          </cell>
          <cell r="BS245">
            <v>-4.2735334158661625E-2</v>
          </cell>
        </row>
        <row r="256">
          <cell r="BO256">
            <v>-0.13</v>
          </cell>
        </row>
        <row r="257">
          <cell r="BO257">
            <v>-0.19</v>
          </cell>
        </row>
        <row r="268">
          <cell r="BO268">
            <v>-0.64215253625587709</v>
          </cell>
          <cell r="BP268">
            <v>-0.61279461279461278</v>
          </cell>
          <cell r="BQ268">
            <v>-0.77777777777777779</v>
          </cell>
          <cell r="BR268">
            <v>-0.52</v>
          </cell>
          <cell r="BS268">
            <v>-0.66972477064220182</v>
          </cell>
        </row>
        <row r="269">
          <cell r="BO269">
            <v>-0.52182074929676303</v>
          </cell>
          <cell r="BP269">
            <v>-0.31313131313131315</v>
          </cell>
          <cell r="BQ269">
            <v>-0.30555555555555552</v>
          </cell>
          <cell r="BR269">
            <v>-0.09</v>
          </cell>
          <cell r="BS269">
            <v>-0.21771771771771772</v>
          </cell>
        </row>
        <row r="270">
          <cell r="BO270">
            <v>-0.94956462048119106</v>
          </cell>
          <cell r="BP270">
            <v>-0.77700348432055744</v>
          </cell>
          <cell r="BQ270">
            <v>-2.1403508771929824</v>
          </cell>
          <cell r="BR270">
            <v>0</v>
          </cell>
          <cell r="BS270">
            <v>-1.9062499999999998</v>
          </cell>
        </row>
        <row r="271">
          <cell r="BO271">
            <v>-0.20931999916382704</v>
          </cell>
          <cell r="BP271">
            <v>-0.45913641629626811</v>
          </cell>
          <cell r="BQ271">
            <v>-0.55072463768115931</v>
          </cell>
          <cell r="BR271">
            <v>-1.62</v>
          </cell>
          <cell r="BS271">
            <v>-1.2272765802512087</v>
          </cell>
        </row>
        <row r="272">
          <cell r="BO272">
            <v>-0.5500570226573781</v>
          </cell>
          <cell r="BP272">
            <v>-0.45515313981679961</v>
          </cell>
          <cell r="BQ272">
            <v>-0.56410256410256399</v>
          </cell>
          <cell r="BR272">
            <v>-0.54</v>
          </cell>
          <cell r="BS272">
            <v>-0.55545942001056892</v>
          </cell>
        </row>
        <row r="289">
          <cell r="BO289">
            <v>-0.22</v>
          </cell>
          <cell r="BP289">
            <v>-0.20444191343963558</v>
          </cell>
          <cell r="BQ289">
            <v>-0.17146776406035666</v>
          </cell>
          <cell r="BR289">
            <v>-0.09</v>
          </cell>
          <cell r="BS289">
            <v>-0.1334824757643549</v>
          </cell>
        </row>
        <row r="293">
          <cell r="BO293">
            <v>-0.16</v>
          </cell>
          <cell r="BP293">
            <v>-6.7832538420773622E-2</v>
          </cell>
          <cell r="BQ293">
            <v>-0.13156440022111662</v>
          </cell>
          <cell r="BR293">
            <v>-7.0000000000000007E-2</v>
          </cell>
          <cell r="BS293">
            <v>-0.10281731048504221</v>
          </cell>
        </row>
        <row r="297">
          <cell r="BO297">
            <v>-0.16740205809285169</v>
          </cell>
          <cell r="BP297">
            <v>-0.15118465588567145</v>
          </cell>
          <cell r="BQ297">
            <v>-0.17387616624257837</v>
          </cell>
          <cell r="BR297">
            <v>-0.12</v>
          </cell>
          <cell r="BS297">
            <v>-0.14767184035476724</v>
          </cell>
        </row>
        <row r="301">
          <cell r="BO301">
            <v>-0.12</v>
          </cell>
          <cell r="BP301">
            <v>-0.11319910514541393</v>
          </cell>
          <cell r="BQ301">
            <v>-8.6737266767523941E-2</v>
          </cell>
          <cell r="BR301">
            <v>-0.08</v>
          </cell>
          <cell r="BS301">
            <v>-8.1479565442317506E-2</v>
          </cell>
        </row>
        <row r="305">
          <cell r="BO305">
            <v>-0.15</v>
          </cell>
          <cell r="BP305">
            <v>-0.12030966111067229</v>
          </cell>
          <cell r="BQ305">
            <v>-0.12982456140350873</v>
          </cell>
          <cell r="BR305">
            <v>-0.08</v>
          </cell>
          <cell r="BS305">
            <v>-0.10829894543787252</v>
          </cell>
        </row>
        <row r="329">
          <cell r="BO329">
            <v>7044.7420000000011</v>
          </cell>
          <cell r="BP329">
            <v>7044.7420000000011</v>
          </cell>
          <cell r="BQ329">
            <v>6809.1050999999998</v>
          </cell>
          <cell r="BR329">
            <v>6072</v>
          </cell>
          <cell r="BS329">
            <v>6072</v>
          </cell>
        </row>
        <row r="330">
          <cell r="BO330">
            <v>4075.2579999999989</v>
          </cell>
          <cell r="BP330">
            <v>4075</v>
          </cell>
          <cell r="BQ330">
            <v>3281.3950504457212</v>
          </cell>
          <cell r="BR330">
            <v>3141.0179932042374</v>
          </cell>
          <cell r="BS330">
            <v>3141.0179932042374</v>
          </cell>
        </row>
        <row r="333">
          <cell r="BO333">
            <v>11120</v>
          </cell>
          <cell r="BP333">
            <v>11119.742000000002</v>
          </cell>
          <cell r="BQ333">
            <v>10335.600150445722</v>
          </cell>
          <cell r="BR333">
            <v>9524.0179932042374</v>
          </cell>
          <cell r="BS333">
            <v>9524.0179932042374</v>
          </cell>
        </row>
        <row r="335">
          <cell r="BO335">
            <v>729.1</v>
          </cell>
          <cell r="BP335">
            <v>729.1</v>
          </cell>
          <cell r="BQ335">
            <v>713.5</v>
          </cell>
          <cell r="BR335">
            <v>675</v>
          </cell>
          <cell r="BS335">
            <v>675</v>
          </cell>
        </row>
        <row r="339">
          <cell r="BO339">
            <v>1858.2380000000001</v>
          </cell>
          <cell r="BP339">
            <v>1858.2380000000001</v>
          </cell>
          <cell r="BQ339">
            <v>1783.5651</v>
          </cell>
          <cell r="BR339">
            <v>1624</v>
          </cell>
          <cell r="BS339">
            <v>1624</v>
          </cell>
        </row>
        <row r="343">
          <cell r="BO343">
            <v>1628.79</v>
          </cell>
          <cell r="BP343">
            <v>1628.79</v>
          </cell>
          <cell r="BQ343">
            <v>1503.04</v>
          </cell>
          <cell r="BR343">
            <v>1285</v>
          </cell>
          <cell r="BS343">
            <v>1285</v>
          </cell>
        </row>
        <row r="347">
          <cell r="BO347">
            <v>2828.6140000000005</v>
          </cell>
          <cell r="BP347">
            <v>2828.6140000000005</v>
          </cell>
          <cell r="BQ347">
            <v>2809</v>
          </cell>
          <cell r="BR347">
            <v>2486</v>
          </cell>
          <cell r="BS347">
            <v>2486</v>
          </cell>
        </row>
        <row r="373">
          <cell r="BN373">
            <v>32.200000000000003</v>
          </cell>
          <cell r="BO373">
            <v>-7.1000000000000014</v>
          </cell>
          <cell r="BP373">
            <v>25.1</v>
          </cell>
          <cell r="BQ373">
            <v>15.6</v>
          </cell>
          <cell r="BR373">
            <v>-0.69999999999999929</v>
          </cell>
          <cell r="BS373">
            <v>14.9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persons/person.xml><?xml version="1.0" encoding="utf-8"?>
<personList xmlns="http://schemas.microsoft.com/office/spreadsheetml/2018/threadedcomments" xmlns:x="http://schemas.openxmlformats.org/spreadsheetml/2006/main">
  <person displayName="Chalkly, Charles" id="{422F302F-FFB7-4522-B2FC-8D6DAA54E86A}" userId="S::Charles.Chalkly@hays.com::c20994f4-ed42-472a-ae7a-19e9b141c95b" providerId="AD"/>
</personList>
</file>

<file path=xl/theme/theme1.xml><?xml version="1.0" encoding="utf-8"?>
<a:theme xmlns:a="http://schemas.openxmlformats.org/drawingml/2006/main" name="Office Theme">
  <a:themeElements>
    <a:clrScheme name="Hays (new - white)">
      <a:dk1>
        <a:srgbClr val="002776"/>
      </a:dk1>
      <a:lt1>
        <a:srgbClr val="FFFFFF"/>
      </a:lt1>
      <a:dk2>
        <a:srgbClr val="2EBAD7"/>
      </a:dk2>
      <a:lt2>
        <a:srgbClr val="F5F0EB"/>
      </a:lt2>
      <a:accent1>
        <a:srgbClr val="007FA9"/>
      </a:accent1>
      <a:accent2>
        <a:srgbClr val="00A0FF"/>
      </a:accent2>
      <a:accent3>
        <a:srgbClr val="00BFB3"/>
      </a:accent3>
      <a:accent4>
        <a:srgbClr val="F7911E"/>
      </a:accent4>
      <a:accent5>
        <a:srgbClr val="9356A2"/>
      </a:accent5>
      <a:accent6>
        <a:srgbClr val="ED5CA2"/>
      </a:accent6>
      <a:hlink>
        <a:srgbClr val="00BFB3"/>
      </a:hlink>
      <a:folHlink>
        <a:srgbClr val="9356A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Q55" dT="2022-09-16T15:41:01.23" personId="{422F302F-FFB7-4522-B2FC-8D6DAA54E86A}" id="{0AE935EE-65C5-480F-953D-13824F88F563}">
    <text>Loss on closure of Russian business = £4.2 million</text>
  </threadedComment>
  <threadedComment ref="AT55" dT="2022-09-16T15:41:01.23" personId="{422F302F-FFB7-4522-B2FC-8D6DAA54E86A}" id="{D63EF20A-A71A-450A-8316-997E32FB480F}">
    <text>Loss on closure of Russian business = £4.2 million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omments" Target="../comments4.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3CD04-15DF-40C2-8FC9-E4377D663C5D}">
  <sheetPr codeName="Sheet1">
    <tabColor theme="3"/>
    <pageSetUpPr fitToPage="1"/>
  </sheetPr>
  <dimension ref="B1:AZ271"/>
  <sheetViews>
    <sheetView tabSelected="1" zoomScale="85" zoomScaleNormal="85" workbookViewId="0">
      <pane xSplit="19" topLeftCell="AO1" activePane="topRight" state="frozen"/>
      <selection pane="topRight" activeCell="D4" sqref="D4"/>
    </sheetView>
  </sheetViews>
  <sheetFormatPr defaultColWidth="9.1796875" defaultRowHeight="14" outlineLevelRow="1" outlineLevelCol="1" x14ac:dyDescent="0.3"/>
  <cols>
    <col min="1" max="1" width="2.81640625" style="1" customWidth="1"/>
    <col min="2" max="2" width="46.81640625" style="1" customWidth="1"/>
    <col min="3" max="3" width="8.54296875" style="1" bestFit="1" customWidth="1"/>
    <col min="4" max="4" width="8.81640625" style="1" customWidth="1"/>
    <col min="5" max="19" width="7.81640625" style="1" hidden="1" customWidth="1" outlineLevel="1"/>
    <col min="20" max="20" width="10.453125" style="288" customWidth="1" collapsed="1"/>
    <col min="21" max="21" width="10.453125" style="288" customWidth="1"/>
    <col min="22" max="22" width="10.453125" style="287" customWidth="1"/>
    <col min="23" max="24" width="10.453125" style="288" customWidth="1"/>
    <col min="25" max="25" width="10.453125" style="287" customWidth="1"/>
    <col min="26" max="27" width="10.453125" style="288" customWidth="1"/>
    <col min="28" max="28" width="10.453125" style="287" customWidth="1"/>
    <col min="29" max="30" width="10.453125" style="288" customWidth="1"/>
    <col min="31" max="31" width="10.453125" style="287" customWidth="1"/>
    <col min="32" max="32" width="10.453125" style="288" customWidth="1"/>
    <col min="33" max="33" width="10.453125" style="289" customWidth="1"/>
    <col min="34" max="34" width="10.453125" style="287" customWidth="1"/>
    <col min="35" max="35" width="10.453125" style="314" customWidth="1"/>
    <col min="36" max="36" width="8.81640625" style="1" customWidth="1"/>
    <col min="37" max="37" width="10.453125" style="287" customWidth="1"/>
    <col min="38" max="38" width="8.81640625" style="2" customWidth="1"/>
    <col min="39" max="39" width="8.81640625" style="1" customWidth="1"/>
    <col min="40" max="40" width="10.453125" style="287" customWidth="1"/>
    <col min="41" max="41" width="8.81640625" style="2" customWidth="1"/>
    <col min="42" max="42" width="8.81640625" style="1" customWidth="1"/>
    <col min="43" max="43" width="10.453125" style="287" customWidth="1"/>
    <col min="44" max="44" width="8.81640625" style="2" customWidth="1"/>
    <col min="45" max="45" width="8.81640625" style="1" customWidth="1"/>
    <col min="46" max="46" width="10.453125" style="287" customWidth="1"/>
    <col min="47" max="47" width="8.81640625" style="2" customWidth="1"/>
    <col min="48" max="48" width="8.81640625" style="1" customWidth="1"/>
    <col min="49" max="49" width="10.453125" style="287" customWidth="1"/>
    <col min="50" max="50" width="8.81640625" style="2" customWidth="1"/>
    <col min="51" max="51" width="8.81640625" style="1" customWidth="1"/>
    <col min="52" max="52" width="10.453125" style="287" customWidth="1"/>
    <col min="53" max="16384" width="9.1796875" style="1"/>
  </cols>
  <sheetData>
    <row r="1" spans="2:52" x14ac:dyDescent="0.3">
      <c r="C1" s="568" t="s">
        <v>98</v>
      </c>
      <c r="D1" s="312" t="s">
        <v>99</v>
      </c>
      <c r="E1" s="274"/>
      <c r="F1" s="274"/>
      <c r="G1" s="274"/>
      <c r="H1" s="274"/>
      <c r="I1" s="274"/>
      <c r="J1" s="274"/>
      <c r="K1" s="274"/>
      <c r="L1" s="274"/>
      <c r="M1" s="274"/>
      <c r="N1" s="274"/>
      <c r="O1" s="274"/>
      <c r="P1" s="274"/>
      <c r="Q1" s="274"/>
      <c r="R1" s="274"/>
      <c r="S1" s="274"/>
    </row>
    <row r="2" spans="2:52" x14ac:dyDescent="0.3">
      <c r="C2" s="568" t="s">
        <v>100</v>
      </c>
      <c r="D2" s="312" t="s">
        <v>101</v>
      </c>
      <c r="E2" s="274"/>
      <c r="F2" s="274"/>
      <c r="G2" s="274"/>
      <c r="H2" s="274"/>
      <c r="I2" s="274"/>
      <c r="J2" s="274"/>
      <c r="K2" s="274"/>
      <c r="L2" s="274"/>
      <c r="M2" s="274"/>
      <c r="N2" s="274"/>
      <c r="O2" s="274"/>
      <c r="P2" s="274"/>
      <c r="Q2" s="274"/>
      <c r="R2" s="274"/>
      <c r="S2" s="274"/>
    </row>
    <row r="3" spans="2:52" x14ac:dyDescent="0.3">
      <c r="C3" s="568" t="s">
        <v>102</v>
      </c>
      <c r="D3" s="312" t="str">
        <f>IF(SUM(254:254)&lt;&gt;0,"ALERT","OK")</f>
        <v>OK</v>
      </c>
      <c r="E3" s="274"/>
      <c r="F3" s="274"/>
      <c r="G3" s="274"/>
      <c r="H3" s="274"/>
      <c r="I3" s="274"/>
      <c r="J3" s="274"/>
      <c r="K3" s="274"/>
      <c r="L3" s="274"/>
      <c r="M3" s="274"/>
      <c r="N3" s="274"/>
      <c r="O3" s="274"/>
      <c r="P3" s="274"/>
      <c r="Q3" s="274"/>
      <c r="R3" s="274"/>
      <c r="S3" s="274"/>
    </row>
    <row r="4" spans="2:52" x14ac:dyDescent="0.3">
      <c r="C4" s="568" t="s">
        <v>104</v>
      </c>
      <c r="D4" s="568">
        <v>2025.08</v>
      </c>
      <c r="E4" s="11"/>
      <c r="F4" s="11"/>
      <c r="G4" s="11"/>
      <c r="H4" s="11"/>
      <c r="I4" s="11"/>
      <c r="J4" s="11"/>
      <c r="K4" s="11"/>
      <c r="L4" s="11"/>
      <c r="M4" s="11"/>
      <c r="N4" s="11"/>
      <c r="O4" s="11"/>
      <c r="P4" s="11"/>
      <c r="Q4" s="11"/>
      <c r="R4" s="11"/>
      <c r="S4" s="11"/>
    </row>
    <row r="5" spans="2:52" s="397" customFormat="1" ht="15" customHeight="1" x14ac:dyDescent="0.35">
      <c r="T5" s="398" t="s">
        <v>53</v>
      </c>
      <c r="U5" s="398" t="s">
        <v>54</v>
      </c>
      <c r="V5" s="399" t="s">
        <v>35</v>
      </c>
      <c r="W5" s="398" t="s">
        <v>55</v>
      </c>
      <c r="X5" s="398" t="s">
        <v>56</v>
      </c>
      <c r="Y5" s="399" t="s">
        <v>34</v>
      </c>
      <c r="Z5" s="398" t="s">
        <v>57</v>
      </c>
      <c r="AA5" s="398" t="s">
        <v>58</v>
      </c>
      <c r="AB5" s="399" t="s">
        <v>33</v>
      </c>
      <c r="AC5" s="398" t="s">
        <v>92</v>
      </c>
      <c r="AD5" s="398" t="s">
        <v>93</v>
      </c>
      <c r="AE5" s="399" t="s">
        <v>94</v>
      </c>
      <c r="AF5" s="398" t="s">
        <v>95</v>
      </c>
      <c r="AG5" s="398" t="s">
        <v>140</v>
      </c>
      <c r="AH5" s="399" t="s">
        <v>141</v>
      </c>
      <c r="AI5" s="398" t="s">
        <v>142</v>
      </c>
      <c r="AJ5" s="398" t="s">
        <v>143</v>
      </c>
      <c r="AK5" s="399" t="s">
        <v>144</v>
      </c>
      <c r="AL5" s="398" t="s">
        <v>145</v>
      </c>
      <c r="AM5" s="398" t="s">
        <v>146</v>
      </c>
      <c r="AN5" s="399" t="s">
        <v>147</v>
      </c>
      <c r="AO5" s="398" t="s">
        <v>148</v>
      </c>
      <c r="AP5" s="398" t="s">
        <v>149</v>
      </c>
      <c r="AQ5" s="399" t="s">
        <v>150</v>
      </c>
      <c r="AR5" s="398" t="s">
        <v>744</v>
      </c>
      <c r="AS5" s="398" t="s">
        <v>745</v>
      </c>
      <c r="AT5" s="399" t="s">
        <v>731</v>
      </c>
      <c r="AU5" s="398" t="s">
        <v>746</v>
      </c>
      <c r="AV5" s="398" t="s">
        <v>758</v>
      </c>
      <c r="AW5" s="399" t="s">
        <v>747</v>
      </c>
      <c r="AX5" s="398" t="s">
        <v>759</v>
      </c>
      <c r="AY5" s="398" t="s">
        <v>760</v>
      </c>
      <c r="AZ5" s="399" t="s">
        <v>752</v>
      </c>
    </row>
    <row r="6" spans="2:52" s="401" customFormat="1" ht="15" customHeight="1" x14ac:dyDescent="0.35">
      <c r="B6" s="400" t="s">
        <v>97</v>
      </c>
      <c r="T6" s="402" t="str">
        <f t="shared" ref="T6:AQ6" si="0">T$5</f>
        <v>H1 15</v>
      </c>
      <c r="U6" s="402" t="str">
        <f t="shared" si="0"/>
        <v>H2 15</v>
      </c>
      <c r="V6" s="403" t="str">
        <f t="shared" si="0"/>
        <v>FY15</v>
      </c>
      <c r="W6" s="402" t="str">
        <f t="shared" si="0"/>
        <v>H1 16</v>
      </c>
      <c r="X6" s="402" t="str">
        <f t="shared" si="0"/>
        <v>H2 16</v>
      </c>
      <c r="Y6" s="403" t="str">
        <f t="shared" si="0"/>
        <v>FY16</v>
      </c>
      <c r="Z6" s="402" t="str">
        <f t="shared" si="0"/>
        <v>H1 17</v>
      </c>
      <c r="AA6" s="402" t="str">
        <f t="shared" si="0"/>
        <v>H2 17</v>
      </c>
      <c r="AB6" s="403" t="str">
        <f t="shared" si="0"/>
        <v>FY17</v>
      </c>
      <c r="AC6" s="402" t="str">
        <f t="shared" si="0"/>
        <v>H1 18</v>
      </c>
      <c r="AD6" s="402" t="str">
        <f t="shared" si="0"/>
        <v>H2 18</v>
      </c>
      <c r="AE6" s="403" t="str">
        <f t="shared" si="0"/>
        <v>FY18</v>
      </c>
      <c r="AF6" s="402" t="str">
        <f t="shared" si="0"/>
        <v>H1 19</v>
      </c>
      <c r="AG6" s="402" t="str">
        <f t="shared" si="0"/>
        <v>H2 19</v>
      </c>
      <c r="AH6" s="403" t="str">
        <f t="shared" si="0"/>
        <v>FY19</v>
      </c>
      <c r="AI6" s="402" t="str">
        <f t="shared" si="0"/>
        <v>H1 20</v>
      </c>
      <c r="AJ6" s="402" t="str">
        <f t="shared" si="0"/>
        <v>H2 20</v>
      </c>
      <c r="AK6" s="403" t="str">
        <f t="shared" si="0"/>
        <v>FY20</v>
      </c>
      <c r="AL6" s="402" t="str">
        <f t="shared" si="0"/>
        <v>H1 21</v>
      </c>
      <c r="AM6" s="402" t="str">
        <f t="shared" si="0"/>
        <v>H2 21</v>
      </c>
      <c r="AN6" s="403" t="str">
        <f t="shared" si="0"/>
        <v>FY21</v>
      </c>
      <c r="AO6" s="402" t="str">
        <f t="shared" si="0"/>
        <v>H1 22</v>
      </c>
      <c r="AP6" s="402" t="str">
        <f t="shared" si="0"/>
        <v>H2 22</v>
      </c>
      <c r="AQ6" s="403" t="str">
        <f t="shared" si="0"/>
        <v>FY22</v>
      </c>
      <c r="AR6" s="402" t="s">
        <v>744</v>
      </c>
      <c r="AS6" s="402" t="s">
        <v>745</v>
      </c>
      <c r="AT6" s="403" t="s">
        <v>731</v>
      </c>
      <c r="AU6" s="402" t="s">
        <v>746</v>
      </c>
      <c r="AV6" s="402" t="s">
        <v>758</v>
      </c>
      <c r="AW6" s="403" t="s">
        <v>747</v>
      </c>
      <c r="AX6" s="402" t="s">
        <v>759</v>
      </c>
      <c r="AY6" s="402" t="s">
        <v>760</v>
      </c>
      <c r="AZ6" s="403" t="s">
        <v>752</v>
      </c>
    </row>
    <row r="7" spans="2:52" s="574" customFormat="1" x14ac:dyDescent="0.3">
      <c r="B7" s="574" t="s">
        <v>105</v>
      </c>
      <c r="T7" s="313">
        <v>1912</v>
      </c>
      <c r="U7" s="313">
        <f>V7-T7</f>
        <v>1930.8000000000002</v>
      </c>
      <c r="V7" s="626">
        <v>3842.8</v>
      </c>
      <c r="W7" s="313">
        <v>2043.9</v>
      </c>
      <c r="X7" s="313">
        <f>Y7-W7</f>
        <v>2187.4999999999995</v>
      </c>
      <c r="Y7" s="626">
        <v>4231.3999999999996</v>
      </c>
      <c r="Z7" s="313">
        <v>2484.5</v>
      </c>
      <c r="AA7" s="313">
        <f>AB7-Z7</f>
        <v>2596.5</v>
      </c>
      <c r="AB7" s="626">
        <v>5081</v>
      </c>
      <c r="AC7" s="313">
        <v>2828.9</v>
      </c>
      <c r="AD7" s="313">
        <f>AE7-AC7</f>
        <v>2924.4</v>
      </c>
      <c r="AE7" s="626">
        <v>5753.3</v>
      </c>
      <c r="AF7" s="313">
        <v>3035.4</v>
      </c>
      <c r="AG7" s="313">
        <f>AH7-AF7</f>
        <v>3035.1</v>
      </c>
      <c r="AH7" s="626">
        <v>6070.5</v>
      </c>
      <c r="AI7" s="313">
        <v>3104.7</v>
      </c>
      <c r="AJ7" s="313">
        <f>AK7-AI7</f>
        <v>2824.8</v>
      </c>
      <c r="AK7" s="626">
        <v>5929.5</v>
      </c>
      <c r="AL7" s="630">
        <v>2755.2</v>
      </c>
      <c r="AM7" s="313">
        <f>AN7-AL7</f>
        <v>2893.2</v>
      </c>
      <c r="AN7" s="626">
        <v>5648.4</v>
      </c>
      <c r="AO7" s="630">
        <v>3067</v>
      </c>
      <c r="AP7" s="313">
        <f>AQ7-AO7</f>
        <v>3521.8999999999996</v>
      </c>
      <c r="AQ7" s="626">
        <v>6588.9</v>
      </c>
      <c r="AR7" s="630">
        <v>3839.8</v>
      </c>
      <c r="AS7" s="313">
        <v>3743.4999999999991</v>
      </c>
      <c r="AT7" s="626">
        <v>7583.2999999999993</v>
      </c>
      <c r="AU7" s="630">
        <v>3538.4</v>
      </c>
      <c r="AV7" s="313">
        <f>[1]Interims!BO19</f>
        <v>3410.6678322999423</v>
      </c>
      <c r="AW7" s="626">
        <f>[1]Interims!BP19</f>
        <v>6949.1</v>
      </c>
      <c r="AX7" s="630">
        <f>[1]Interims!BQ19</f>
        <v>3365.3501389938169</v>
      </c>
      <c r="AY7" s="313">
        <f>[1]Interims!BR19</f>
        <v>3241.6498610061835</v>
      </c>
      <c r="AZ7" s="626">
        <f>[1]Interims!BS19</f>
        <v>6607</v>
      </c>
    </row>
    <row r="8" spans="2:52" s="35" customFormat="1" ht="13" x14ac:dyDescent="0.3">
      <c r="B8" s="197" t="s">
        <v>109</v>
      </c>
      <c r="C8" s="121"/>
      <c r="D8" s="121"/>
      <c r="E8" s="121"/>
      <c r="F8" s="121"/>
      <c r="G8" s="121"/>
      <c r="H8" s="121"/>
      <c r="I8" s="121"/>
      <c r="J8" s="121"/>
      <c r="K8" s="121"/>
      <c r="L8" s="121"/>
      <c r="M8" s="121"/>
      <c r="N8" s="121"/>
      <c r="O8" s="121"/>
      <c r="P8" s="121"/>
      <c r="Q8" s="121"/>
      <c r="R8" s="121"/>
      <c r="S8" s="121"/>
      <c r="T8" s="122">
        <v>0.03</v>
      </c>
      <c r="U8" s="122">
        <v>0.06</v>
      </c>
      <c r="V8" s="617">
        <v>4.3999999999999997E-2</v>
      </c>
      <c r="W8" s="122">
        <f>IF(ISNUMBER(W7)*ISNUMBER(T7),W7/T7-1,"na")</f>
        <v>6.8985355648535585E-2</v>
      </c>
      <c r="X8" s="122">
        <f t="shared" ref="X8:AZ8" si="1">IF(ISNUMBER(X7)*ISNUMBER(U7),X7/U7-1,"na")</f>
        <v>0.1329500725088042</v>
      </c>
      <c r="Y8" s="617">
        <f t="shared" si="1"/>
        <v>0.10112418028520853</v>
      </c>
      <c r="Z8" s="122">
        <f t="shared" si="1"/>
        <v>0.21556827633445863</v>
      </c>
      <c r="AA8" s="122">
        <f t="shared" si="1"/>
        <v>0.18697142857142879</v>
      </c>
      <c r="AB8" s="617">
        <f t="shared" si="1"/>
        <v>0.20078461029446526</v>
      </c>
      <c r="AC8" s="122">
        <f t="shared" si="1"/>
        <v>0.13861944053129416</v>
      </c>
      <c r="AD8" s="122">
        <f t="shared" si="1"/>
        <v>0.12628538417099944</v>
      </c>
      <c r="AE8" s="617">
        <f t="shared" si="1"/>
        <v>0.13231647313520956</v>
      </c>
      <c r="AF8" s="122">
        <f t="shared" si="1"/>
        <v>7.2996571105376606E-2</v>
      </c>
      <c r="AG8" s="122">
        <f t="shared" si="1"/>
        <v>3.7853918752564608E-2</v>
      </c>
      <c r="AH8" s="617">
        <f t="shared" si="1"/>
        <v>5.5133575513183652E-2</v>
      </c>
      <c r="AI8" s="122">
        <v>0.02</v>
      </c>
      <c r="AJ8" s="122">
        <f t="shared" si="1"/>
        <v>-6.928931501433222E-2</v>
      </c>
      <c r="AK8" s="617">
        <f t="shared" si="1"/>
        <v>-2.3227081788979476E-2</v>
      </c>
      <c r="AL8" s="122">
        <v>-0.11</v>
      </c>
      <c r="AM8" s="122">
        <f t="shared" si="1"/>
        <v>2.4214103653355856E-2</v>
      </c>
      <c r="AN8" s="617">
        <f t="shared" ref="AN8" si="2">IF(ISNUMBER(AN7)*ISNUMBER(AK7),AN7/AK7-1,"na")</f>
        <v>-4.7407032633443036E-2</v>
      </c>
      <c r="AO8" s="122">
        <f t="shared" si="1"/>
        <v>0.11316782810685266</v>
      </c>
      <c r="AP8" s="122">
        <f t="shared" si="1"/>
        <v>0.21730264067468541</v>
      </c>
      <c r="AQ8" s="617">
        <v>0.17</v>
      </c>
      <c r="AR8" s="122">
        <f t="shared" si="1"/>
        <v>0.2519726116726444</v>
      </c>
      <c r="AS8" s="122">
        <f t="shared" si="1"/>
        <v>6.292058264005207E-2</v>
      </c>
      <c r="AT8" s="617">
        <f t="shared" si="1"/>
        <v>0.15092048748653042</v>
      </c>
      <c r="AU8" s="122">
        <f t="shared" si="1"/>
        <v>-7.8493671545392996E-2</v>
      </c>
      <c r="AV8" s="122">
        <f t="shared" si="1"/>
        <v>-8.8909354267411977E-2</v>
      </c>
      <c r="AW8" s="617">
        <f t="shared" si="1"/>
        <v>-8.3631136840161768E-2</v>
      </c>
      <c r="AX8" s="122">
        <f t="shared" si="1"/>
        <v>-4.890624604515692E-2</v>
      </c>
      <c r="AY8" s="122">
        <f t="shared" si="1"/>
        <v>-4.9555682231237297E-2</v>
      </c>
      <c r="AZ8" s="617">
        <f t="shared" si="1"/>
        <v>-4.9229396612511023E-2</v>
      </c>
    </row>
    <row r="9" spans="2:52" s="417" customFormat="1" ht="14.5" x14ac:dyDescent="0.35">
      <c r="B9" s="418" t="s">
        <v>110</v>
      </c>
      <c r="C9" s="413"/>
      <c r="D9" s="413"/>
      <c r="E9" s="413"/>
      <c r="F9" s="413"/>
      <c r="G9" s="413"/>
      <c r="H9" s="413"/>
      <c r="I9" s="413"/>
      <c r="J9" s="413"/>
      <c r="K9" s="413"/>
      <c r="L9" s="413"/>
      <c r="M9" s="413"/>
      <c r="N9" s="413"/>
      <c r="O9" s="413"/>
      <c r="P9" s="413"/>
      <c r="Q9" s="413"/>
      <c r="R9" s="413"/>
      <c r="S9" s="413"/>
      <c r="T9" s="414">
        <v>7.0000000000000007E-2</v>
      </c>
      <c r="U9" s="421"/>
      <c r="V9" s="631">
        <v>0.09</v>
      </c>
      <c r="W9" s="414">
        <v>0.13</v>
      </c>
      <c r="X9" s="421"/>
      <c r="Y9" s="631">
        <v>0.12</v>
      </c>
      <c r="Z9" s="414">
        <v>7.0000000000000007E-2</v>
      </c>
      <c r="AA9" s="421"/>
      <c r="AB9" s="631">
        <v>0.08</v>
      </c>
      <c r="AC9" s="414">
        <v>0.12</v>
      </c>
      <c r="AD9" s="421"/>
      <c r="AE9" s="631">
        <v>0.13</v>
      </c>
      <c r="AF9" s="414">
        <v>0.09</v>
      </c>
      <c r="AG9" s="421"/>
      <c r="AH9" s="631">
        <v>7.0000000000000007E-2</v>
      </c>
      <c r="AI9" s="414">
        <v>0.03</v>
      </c>
      <c r="AJ9" s="421"/>
      <c r="AK9" s="631">
        <v>-0.01</v>
      </c>
      <c r="AL9" s="414">
        <v>-0.12</v>
      </c>
      <c r="AM9" s="421"/>
      <c r="AN9" s="631">
        <v>-0.06</v>
      </c>
      <c r="AO9" s="414">
        <v>0.15</v>
      </c>
      <c r="AP9" s="421"/>
      <c r="AQ9" s="631">
        <v>0.19</v>
      </c>
      <c r="AR9" s="414">
        <v>0.21</v>
      </c>
      <c r="AS9" s="421"/>
      <c r="AT9" s="631">
        <v>0.11916181236065376</v>
      </c>
      <c r="AU9" s="414">
        <v>-0.05</v>
      </c>
      <c r="AV9" s="421">
        <f>[1]Interims!BO245</f>
        <v>-8.8909354267411977E-2</v>
      </c>
      <c r="AW9" s="631">
        <f>[1]Interims!BP245</f>
        <v>-5.9635500808963224E-2</v>
      </c>
      <c r="AX9" s="414">
        <f>[1]Interims!BQ245</f>
        <v>-2.8931932958256853E-2</v>
      </c>
      <c r="AY9" s="421">
        <f>[1]Interims!BR245</f>
        <v>-0.03</v>
      </c>
      <c r="AZ9" s="631">
        <f>[1]Interims!BS245</f>
        <v>-4.2735334158661625E-2</v>
      </c>
    </row>
    <row r="10" spans="2:52" s="46" customFormat="1" ht="14.5" x14ac:dyDescent="0.3">
      <c r="B10" s="42" t="s">
        <v>111</v>
      </c>
      <c r="C10" s="43"/>
      <c r="D10" s="43"/>
      <c r="E10" s="43"/>
      <c r="F10" s="43"/>
      <c r="G10" s="43"/>
      <c r="H10" s="43"/>
      <c r="I10" s="43"/>
      <c r="J10" s="43"/>
      <c r="K10" s="43"/>
      <c r="L10" s="43"/>
      <c r="M10" s="43"/>
      <c r="N10" s="43"/>
      <c r="O10" s="43"/>
      <c r="P10" s="43"/>
      <c r="Q10" s="43"/>
      <c r="R10" s="43"/>
      <c r="S10" s="43"/>
      <c r="T10" s="340">
        <f t="shared" ref="T10" si="3">(1+T8)/(1+T9)-1</f>
        <v>-3.7383177570093462E-2</v>
      </c>
      <c r="U10" s="340"/>
      <c r="V10" s="341">
        <f t="shared" ref="V10" si="4">(1+V8)/(1+V9)-1</f>
        <v>-4.2201834862385379E-2</v>
      </c>
      <c r="W10" s="232">
        <f t="shared" ref="W10" si="5">(1+W8)/(1+W9)-1</f>
        <v>-5.3995260488021501E-2</v>
      </c>
      <c r="X10" s="232"/>
      <c r="Y10" s="664">
        <f t="shared" ref="Y10" si="6">(1+Y8)/(1+Y9)-1</f>
        <v>-1.6853410459635287E-2</v>
      </c>
      <c r="Z10" s="232">
        <f t="shared" ref="Z10" si="7">(1+Z8)/(1+Z9)-1</f>
        <v>0.13604511806958741</v>
      </c>
      <c r="AA10" s="232"/>
      <c r="AB10" s="664">
        <f t="shared" ref="AB10" si="8">(1+AB8)/(1+AB9)-1</f>
        <v>0.11183760212450489</v>
      </c>
      <c r="AC10" s="232">
        <f t="shared" ref="AC10" si="9">(1+AC8)/(1+AC9)-1</f>
        <v>1.6624500474369697E-2</v>
      </c>
      <c r="AD10" s="232"/>
      <c r="AE10" s="664">
        <f t="shared" ref="AE10" si="10">(1+AE8)/(1+AE9)-1</f>
        <v>2.0499762258492371E-3</v>
      </c>
      <c r="AF10" s="232">
        <f t="shared" ref="AF10" si="11">(1+AF8)/(1+AF9)-1</f>
        <v>-1.5599476050113248E-2</v>
      </c>
      <c r="AG10" s="232"/>
      <c r="AH10" s="664">
        <f t="shared" ref="AH10:AQ10" si="12">(1+AH8)/(1+AH9)-1</f>
        <v>-1.3893854660576133E-2</v>
      </c>
      <c r="AI10" s="232">
        <f t="shared" si="12"/>
        <v>-9.7087378640776656E-3</v>
      </c>
      <c r="AJ10" s="232"/>
      <c r="AK10" s="664">
        <f t="shared" si="12"/>
        <v>-1.3360688675736809E-2</v>
      </c>
      <c r="AL10" s="232">
        <f t="shared" si="12"/>
        <v>1.1363636363636465E-2</v>
      </c>
      <c r="AM10" s="232"/>
      <c r="AN10" s="664">
        <f t="shared" si="12"/>
        <v>1.339677379420956E-2</v>
      </c>
      <c r="AO10" s="45">
        <f t="shared" si="12"/>
        <v>-3.2027975559258515E-2</v>
      </c>
      <c r="AP10" s="45"/>
      <c r="AQ10" s="664">
        <f t="shared" si="12"/>
        <v>-1.6806722689075682E-2</v>
      </c>
      <c r="AR10" s="45">
        <v>0.04</v>
      </c>
      <c r="AS10" s="45"/>
      <c r="AT10" s="664">
        <v>0.03</v>
      </c>
      <c r="AU10" s="45">
        <v>-0.03</v>
      </c>
      <c r="AV10" s="45">
        <f>AV8-AV9</f>
        <v>0</v>
      </c>
      <c r="AW10" s="664">
        <f>AW8-AW9</f>
        <v>-2.3995636031198544E-2</v>
      </c>
      <c r="AX10" s="45">
        <f>AX8-AX9</f>
        <v>-1.9974313086900067E-2</v>
      </c>
      <c r="AY10" s="45">
        <f>AY8-AY9</f>
        <v>-1.9555682231237298E-2</v>
      </c>
      <c r="AZ10" s="664">
        <f>AZ8-AZ9</f>
        <v>-6.4940624538493974E-3</v>
      </c>
    </row>
    <row r="11" spans="2:52" x14ac:dyDescent="0.3">
      <c r="T11" s="274"/>
      <c r="U11" s="274"/>
      <c r="V11" s="290"/>
      <c r="W11" s="274"/>
      <c r="X11" s="274"/>
      <c r="Y11" s="290"/>
      <c r="Z11" s="274"/>
      <c r="AA11" s="274"/>
      <c r="AB11" s="290"/>
      <c r="AC11" s="274"/>
      <c r="AD11" s="274"/>
      <c r="AE11" s="290"/>
      <c r="AF11" s="274"/>
      <c r="AG11" s="274"/>
      <c r="AH11" s="290"/>
      <c r="AI11" s="312"/>
      <c r="AJ11" s="274"/>
      <c r="AK11" s="290"/>
      <c r="AL11" s="11"/>
      <c r="AM11" s="11"/>
      <c r="AN11" s="290"/>
      <c r="AO11" s="11"/>
      <c r="AP11" s="11"/>
      <c r="AQ11" s="290"/>
      <c r="AR11" s="11"/>
      <c r="AS11" s="11"/>
      <c r="AT11" s="290"/>
      <c r="AU11" s="11"/>
      <c r="AV11" s="11"/>
      <c r="AW11" s="290"/>
      <c r="AX11" s="11"/>
      <c r="AY11" s="11"/>
      <c r="AZ11" s="290"/>
    </row>
    <row r="12" spans="2:52" s="142" customFormat="1" x14ac:dyDescent="0.3">
      <c r="B12" s="570" t="s">
        <v>106</v>
      </c>
      <c r="C12" s="570"/>
      <c r="D12" s="570"/>
      <c r="E12" s="570"/>
      <c r="F12" s="570"/>
      <c r="G12" s="570"/>
      <c r="H12" s="570"/>
      <c r="I12" s="570"/>
      <c r="J12" s="570"/>
      <c r="K12" s="570"/>
      <c r="L12" s="570"/>
      <c r="M12" s="570"/>
      <c r="N12" s="570"/>
      <c r="O12" s="570"/>
      <c r="P12" s="570"/>
      <c r="Q12" s="570"/>
      <c r="R12" s="570"/>
      <c r="S12" s="570"/>
      <c r="T12" s="667">
        <f>T32-T7</f>
        <v>-1528.1</v>
      </c>
      <c r="U12" s="667">
        <f>U32-U7</f>
        <v>-1550.5000000000002</v>
      </c>
      <c r="V12" s="659">
        <v>-2941.5</v>
      </c>
      <c r="W12" s="667">
        <f>W32-W7</f>
        <v>-1647</v>
      </c>
      <c r="X12" s="667">
        <f>X32-X7</f>
        <v>-1774.0999999999995</v>
      </c>
      <c r="Y12" s="555">
        <v>-3236.5</v>
      </c>
      <c r="Z12" s="667">
        <f>Z32-Z7</f>
        <v>-2019</v>
      </c>
      <c r="AA12" s="667">
        <f>AA32-AA7</f>
        <v>-2107.4</v>
      </c>
      <c r="AB12" s="555">
        <v>-3930.6</v>
      </c>
      <c r="AC12" s="667">
        <f>AC32-AC7</f>
        <v>-2303.1000000000004</v>
      </c>
      <c r="AD12" s="667">
        <f>AD32-AD7</f>
        <v>-2377.4</v>
      </c>
      <c r="AE12" s="555">
        <v>-4425.2</v>
      </c>
      <c r="AF12" s="667">
        <f>AF32-AF7</f>
        <v>-2467.4</v>
      </c>
      <c r="AG12" s="667">
        <f>AG32-AG7</f>
        <v>-2473.3999999999996</v>
      </c>
      <c r="AH12" s="555">
        <v>-4661.3999999999996</v>
      </c>
      <c r="AI12" s="667">
        <f>AI32-AI7</f>
        <v>-2551.6</v>
      </c>
      <c r="AJ12" s="667">
        <f>AJ32-AJ7</f>
        <v>-2381.7000000000003</v>
      </c>
      <c r="AK12" s="555">
        <v>-4626.7</v>
      </c>
      <c r="AL12" s="667">
        <f>AL32-AL7</f>
        <v>-2332.3999999999996</v>
      </c>
      <c r="AM12" s="667">
        <f>AM32-AM7</f>
        <v>-2397.8999999999996</v>
      </c>
      <c r="AN12" s="555">
        <v>-4422.7</v>
      </c>
      <c r="AO12" s="667">
        <f>AO32-AO7</f>
        <v>-2501.6999999999998</v>
      </c>
      <c r="AP12" s="667">
        <f>AP32-AP7</f>
        <v>-2897.7999999999997</v>
      </c>
      <c r="AQ12" s="555">
        <f>AO12+AP12-AQ13</f>
        <v>-5043.1000000000004</v>
      </c>
      <c r="AR12" s="667">
        <v>-3187.9</v>
      </c>
      <c r="AS12" s="667">
        <v>-3100.8315840875962</v>
      </c>
      <c r="AT12" s="555">
        <v>-5212.8999999999996</v>
      </c>
      <c r="AU12" s="667">
        <v>-2955.1</v>
      </c>
      <c r="AV12" s="667">
        <v>-2872.5854639687409</v>
      </c>
      <c r="AW12" s="555">
        <v>-2872.5854639687409</v>
      </c>
      <c r="AX12" s="667">
        <v>-2869.4</v>
      </c>
      <c r="AY12" s="667">
        <v>-2765.2</v>
      </c>
      <c r="AZ12" s="555">
        <v>-5634.6</v>
      </c>
    </row>
    <row r="13" spans="2:52" s="142" customFormat="1" x14ac:dyDescent="0.3">
      <c r="B13" s="570" t="s">
        <v>107</v>
      </c>
      <c r="C13" s="570"/>
      <c r="D13" s="570"/>
      <c r="E13" s="570"/>
      <c r="F13" s="570"/>
      <c r="G13" s="570"/>
      <c r="H13" s="570"/>
      <c r="I13" s="570"/>
      <c r="J13" s="570"/>
      <c r="K13" s="570"/>
      <c r="L13" s="570"/>
      <c r="M13" s="570"/>
      <c r="N13" s="570"/>
      <c r="O13" s="570"/>
      <c r="P13" s="570"/>
      <c r="Q13" s="570"/>
      <c r="R13" s="570"/>
      <c r="S13" s="570"/>
      <c r="T13" s="667"/>
      <c r="U13" s="667"/>
      <c r="V13" s="659">
        <v>-137.1</v>
      </c>
      <c r="W13" s="667"/>
      <c r="X13" s="667"/>
      <c r="Y13" s="555">
        <v>-184.6</v>
      </c>
      <c r="Z13" s="667"/>
      <c r="AA13" s="667"/>
      <c r="AB13" s="555">
        <v>-195.8</v>
      </c>
      <c r="AC13" s="667"/>
      <c r="AD13" s="667"/>
      <c r="AE13" s="555">
        <v>-255.3</v>
      </c>
      <c r="AF13" s="667"/>
      <c r="AG13" s="667"/>
      <c r="AH13" s="555">
        <v>-279.39999999999998</v>
      </c>
      <c r="AI13" s="667"/>
      <c r="AJ13" s="667"/>
      <c r="AK13" s="555">
        <v>-306.60000000000002</v>
      </c>
      <c r="AL13" s="667"/>
      <c r="AM13" s="667"/>
      <c r="AN13" s="555">
        <v>-307.60000000000002</v>
      </c>
      <c r="AO13" s="667"/>
      <c r="AP13" s="667"/>
      <c r="AQ13" s="555">
        <v>-356.4</v>
      </c>
      <c r="AR13" s="667"/>
      <c r="AS13" s="667"/>
      <c r="AT13" s="555">
        <v>-1075.8</v>
      </c>
      <c r="AU13" s="667"/>
      <c r="AV13" s="667"/>
      <c r="AW13" s="555"/>
      <c r="AX13" s="667"/>
      <c r="AY13" s="667"/>
      <c r="AZ13" s="555"/>
    </row>
    <row r="14" spans="2:52" s="153" customFormat="1" x14ac:dyDescent="0.3">
      <c r="B14" s="153" t="s">
        <v>565</v>
      </c>
      <c r="T14" s="292">
        <f t="shared" ref="T14:AG14" si="13">T32</f>
        <v>383.9</v>
      </c>
      <c r="U14" s="292">
        <f t="shared" si="13"/>
        <v>380.3</v>
      </c>
      <c r="V14" s="660">
        <f>V32</f>
        <v>764.2</v>
      </c>
      <c r="W14" s="292">
        <f t="shared" si="13"/>
        <v>396.9</v>
      </c>
      <c r="X14" s="292">
        <f t="shared" si="13"/>
        <v>413.4</v>
      </c>
      <c r="Y14" s="293">
        <f>Y32</f>
        <v>810.3</v>
      </c>
      <c r="Z14" s="292">
        <f t="shared" si="13"/>
        <v>465.5</v>
      </c>
      <c r="AA14" s="292">
        <f t="shared" si="13"/>
        <v>489.1</v>
      </c>
      <c r="AB14" s="293">
        <f>AB32</f>
        <v>954.60000000000014</v>
      </c>
      <c r="AC14" s="292">
        <f t="shared" si="13"/>
        <v>525.79999999999995</v>
      </c>
      <c r="AD14" s="292">
        <f t="shared" si="13"/>
        <v>547</v>
      </c>
      <c r="AE14" s="293">
        <f>AE32</f>
        <v>1072.8</v>
      </c>
      <c r="AF14" s="292">
        <f t="shared" si="13"/>
        <v>568</v>
      </c>
      <c r="AG14" s="292">
        <f t="shared" si="13"/>
        <v>561.70000000000005</v>
      </c>
      <c r="AH14" s="293">
        <f>AH32</f>
        <v>1129.7</v>
      </c>
      <c r="AI14" s="315"/>
      <c r="AJ14" s="199"/>
      <c r="AK14" s="293">
        <f>AK32</f>
        <v>996.2</v>
      </c>
      <c r="AL14" s="199"/>
      <c r="AM14" s="199"/>
      <c r="AN14" s="293">
        <f>AN32</f>
        <v>918.1</v>
      </c>
      <c r="AO14" s="199"/>
      <c r="AP14" s="199"/>
      <c r="AQ14" s="293">
        <f>AQ32</f>
        <v>1189.4000000000001</v>
      </c>
      <c r="AR14" s="199"/>
      <c r="AS14" s="199"/>
      <c r="AT14" s="293">
        <f>AT32</f>
        <v>1294.568415912403</v>
      </c>
      <c r="AU14" s="199"/>
      <c r="AV14" s="199"/>
      <c r="AW14" s="293"/>
      <c r="AX14" s="199"/>
      <c r="AY14" s="199"/>
      <c r="AZ14" s="293"/>
    </row>
    <row r="15" spans="2:52" s="407" customFormat="1" x14ac:dyDescent="0.3">
      <c r="B15" s="404" t="s">
        <v>599</v>
      </c>
      <c r="C15" s="405"/>
      <c r="D15" s="405"/>
      <c r="E15" s="405"/>
      <c r="F15" s="405"/>
      <c r="G15" s="405"/>
      <c r="H15" s="405"/>
      <c r="I15" s="405"/>
      <c r="J15" s="405"/>
      <c r="K15" s="405"/>
      <c r="L15" s="405"/>
      <c r="M15" s="405"/>
      <c r="N15" s="405"/>
      <c r="O15" s="405"/>
      <c r="P15" s="405"/>
      <c r="Q15" s="405"/>
      <c r="R15" s="405"/>
      <c r="S15" s="405"/>
      <c r="T15" s="406"/>
      <c r="U15" s="406"/>
      <c r="V15" s="406"/>
      <c r="W15" s="406"/>
      <c r="X15" s="406"/>
      <c r="Y15" s="406"/>
      <c r="Z15" s="406"/>
      <c r="AA15" s="406"/>
      <c r="AB15" s="406"/>
      <c r="AC15" s="406"/>
      <c r="AD15" s="406"/>
      <c r="AE15" s="406"/>
      <c r="AF15" s="406"/>
      <c r="AG15" s="406"/>
      <c r="AH15" s="406"/>
      <c r="AJ15" s="408"/>
      <c r="AK15" s="406"/>
      <c r="AL15" s="408"/>
      <c r="AM15" s="408"/>
      <c r="AN15" s="406"/>
      <c r="AO15" s="408"/>
      <c r="AP15" s="408"/>
      <c r="AQ15" s="406"/>
      <c r="AR15" s="408"/>
      <c r="AS15" s="408"/>
      <c r="AT15" s="406"/>
      <c r="AU15" s="408"/>
      <c r="AV15" s="408"/>
      <c r="AW15" s="406"/>
      <c r="AX15" s="408"/>
      <c r="AY15" s="408"/>
      <c r="AZ15" s="406"/>
    </row>
    <row r="16" spans="2:52" s="21" customFormat="1" x14ac:dyDescent="0.3">
      <c r="B16" s="14" t="s">
        <v>705</v>
      </c>
      <c r="T16" s="22">
        <v>71.8</v>
      </c>
      <c r="U16" s="22">
        <v>66.899999999999991</v>
      </c>
      <c r="V16" s="656">
        <v>138.69999999999999</v>
      </c>
      <c r="W16" s="22">
        <v>63.7</v>
      </c>
      <c r="X16" s="22">
        <f>Y16-W16</f>
        <v>69.899999999999991</v>
      </c>
      <c r="Y16" s="656">
        <v>133.6</v>
      </c>
      <c r="Z16" s="22">
        <v>87.2</v>
      </c>
      <c r="AA16" s="22">
        <f>AB16-Z16</f>
        <v>93.499999999999986</v>
      </c>
      <c r="AB16" s="656">
        <v>180.7</v>
      </c>
      <c r="AC16" s="22">
        <v>99.8</v>
      </c>
      <c r="AD16" s="22">
        <v>99.6</v>
      </c>
      <c r="AE16" s="656">
        <v>199.4</v>
      </c>
      <c r="AF16" s="22">
        <v>101.5</v>
      </c>
      <c r="AG16" s="22">
        <v>97</v>
      </c>
      <c r="AH16" s="656">
        <v>198.5</v>
      </c>
      <c r="AI16" s="22">
        <v>94.8</v>
      </c>
      <c r="AJ16" s="22">
        <v>75.7</v>
      </c>
      <c r="AK16" s="656">
        <v>170.5</v>
      </c>
      <c r="AL16" s="22">
        <v>74.400000000000006</v>
      </c>
      <c r="AM16" s="22">
        <v>85.5</v>
      </c>
      <c r="AN16" s="656">
        <v>159.9</v>
      </c>
      <c r="AO16" s="22">
        <v>95.7</v>
      </c>
      <c r="AP16" s="22">
        <v>100</v>
      </c>
      <c r="AQ16" s="656">
        <v>195.7</v>
      </c>
      <c r="AR16" s="22">
        <v>99.85457471790285</v>
      </c>
      <c r="AS16" s="22">
        <v>88.583834988417905</v>
      </c>
      <c r="AT16" s="656">
        <v>188.43840970632075</v>
      </c>
      <c r="AU16" s="22">
        <v>74.3</v>
      </c>
      <c r="AV16" s="22">
        <f>[1]Interims!BO29</f>
        <v>65.394313109729254</v>
      </c>
      <c r="AW16" s="656">
        <f>[1]Interims!BP29</f>
        <v>139.69814717396741</v>
      </c>
      <c r="AX16" s="22">
        <f>[1]Interims!BQ29</f>
        <v>60.432910302809894</v>
      </c>
      <c r="AY16" s="22">
        <f>[1]Interims!BR29</f>
        <v>55.800035921203424</v>
      </c>
      <c r="AZ16" s="656">
        <f>[1]Interims!BS29</f>
        <v>116.23294622401332</v>
      </c>
    </row>
    <row r="17" spans="2:52" s="35" customFormat="1" ht="13" x14ac:dyDescent="0.3">
      <c r="B17" s="197" t="s">
        <v>560</v>
      </c>
      <c r="C17" s="121"/>
      <c r="D17" s="121"/>
      <c r="E17" s="121"/>
      <c r="F17" s="121"/>
      <c r="G17" s="121"/>
      <c r="H17" s="121"/>
      <c r="I17" s="121"/>
      <c r="J17" s="121"/>
      <c r="K17" s="121"/>
      <c r="L17" s="121"/>
      <c r="M17" s="121"/>
      <c r="N17" s="121"/>
      <c r="O17" s="121"/>
      <c r="P17" s="121"/>
      <c r="Q17" s="121"/>
      <c r="R17" s="121"/>
      <c r="S17" s="121"/>
      <c r="T17" s="122">
        <v>0.01</v>
      </c>
      <c r="U17" s="122">
        <v>0.01</v>
      </c>
      <c r="V17" s="661">
        <v>0.01</v>
      </c>
      <c r="W17" s="122">
        <f t="shared" ref="W17" si="14">W16/T16-1</f>
        <v>-0.11281337047353757</v>
      </c>
      <c r="X17" s="122">
        <f t="shared" ref="X17" si="15">X16/U16-1</f>
        <v>4.4843049327354167E-2</v>
      </c>
      <c r="Y17" s="661">
        <f t="shared" ref="Y17" si="16">Y16/V16-1</f>
        <v>-3.6770007209805278E-2</v>
      </c>
      <c r="Z17" s="122">
        <f t="shared" ref="Z17" si="17">Z16/W16-1</f>
        <v>0.36891679748822614</v>
      </c>
      <c r="AA17" s="122">
        <f t="shared" ref="AA17:AB17" si="18">AA16/X16-1</f>
        <v>0.33762517882689558</v>
      </c>
      <c r="AB17" s="661">
        <f t="shared" si="18"/>
        <v>0.35254491017964074</v>
      </c>
      <c r="AC17" s="122">
        <f t="shared" ref="AC17:AE17" si="19">AC16/Z16-1</f>
        <v>0.14449541284403655</v>
      </c>
      <c r="AD17" s="122">
        <f t="shared" si="19"/>
        <v>6.5240641711230118E-2</v>
      </c>
      <c r="AE17" s="661">
        <f t="shared" si="19"/>
        <v>0.10348644161593823</v>
      </c>
      <c r="AF17" s="122">
        <f t="shared" ref="AF17:AG17" si="20">AF16/AC16-1</f>
        <v>1.7034068136272618E-2</v>
      </c>
      <c r="AG17" s="122">
        <f t="shared" si="20"/>
        <v>-2.6104417670682722E-2</v>
      </c>
      <c r="AH17" s="661">
        <f>AH16/AE16-1</f>
        <v>-4.5135406218655971E-3</v>
      </c>
      <c r="AI17" s="122">
        <f t="shared" ref="AI17:AR17" si="21">AI16/AF16-1</f>
        <v>-6.6009852216748821E-2</v>
      </c>
      <c r="AJ17" s="122">
        <f t="shared" si="21"/>
        <v>-0.21958762886597938</v>
      </c>
      <c r="AK17" s="661">
        <f t="shared" si="21"/>
        <v>-0.1410579345088161</v>
      </c>
      <c r="AL17" s="122">
        <f t="shared" si="21"/>
        <v>-0.21518987341772144</v>
      </c>
      <c r="AM17" s="122">
        <f t="shared" si="21"/>
        <v>0.12945838837516499</v>
      </c>
      <c r="AN17" s="661">
        <f t="shared" si="21"/>
        <v>-6.2170087976539556E-2</v>
      </c>
      <c r="AO17" s="122">
        <f t="shared" si="21"/>
        <v>0.28629032258064502</v>
      </c>
      <c r="AP17" s="122">
        <f t="shared" si="21"/>
        <v>0.16959064327485374</v>
      </c>
      <c r="AQ17" s="661">
        <f t="shared" si="21"/>
        <v>0.22388993120700418</v>
      </c>
      <c r="AR17" s="122">
        <f t="shared" si="21"/>
        <v>4.3412483990625361E-2</v>
      </c>
      <c r="AS17" s="122">
        <v>-0.12</v>
      </c>
      <c r="AT17" s="661">
        <f t="shared" ref="AT17" si="22">AT16/AQ16-1</f>
        <v>-3.7105724546138141E-2</v>
      </c>
      <c r="AU17" s="122">
        <v>-0.26</v>
      </c>
      <c r="AV17" s="122">
        <f>AV16/AS16-1</f>
        <v>-0.26178051426335991</v>
      </c>
      <c r="AW17" s="661">
        <f>AW16/AT16-1</f>
        <v>-0.25865354419151865</v>
      </c>
      <c r="AX17" s="122">
        <f>AX16/AU16-1</f>
        <v>-0.18663646967954384</v>
      </c>
      <c r="AY17" s="122">
        <f>AY16/AV16-1</f>
        <v>-0.14671424367478236</v>
      </c>
      <c r="AZ17" s="661">
        <f>AZ16/AW16-1</f>
        <v>-0.16797073851475397</v>
      </c>
    </row>
    <row r="18" spans="2:52" s="417" customFormat="1" ht="14.5" x14ac:dyDescent="0.3">
      <c r="B18" s="412" t="s">
        <v>110</v>
      </c>
      <c r="C18" s="413"/>
      <c r="D18" s="413"/>
      <c r="E18" s="413"/>
      <c r="F18" s="413"/>
      <c r="G18" s="413"/>
      <c r="H18" s="413"/>
      <c r="I18" s="413"/>
      <c r="J18" s="413"/>
      <c r="K18" s="413"/>
      <c r="L18" s="413"/>
      <c r="M18" s="413"/>
      <c r="N18" s="413"/>
      <c r="O18" s="413"/>
      <c r="P18" s="413"/>
      <c r="Q18" s="413"/>
      <c r="R18" s="413"/>
      <c r="S18" s="413"/>
      <c r="T18" s="414">
        <v>7.0000000000000007E-2</v>
      </c>
      <c r="U18" s="414">
        <v>0.08</v>
      </c>
      <c r="V18" s="657">
        <v>7.0000000000000007E-2</v>
      </c>
      <c r="W18" s="415">
        <v>0.03</v>
      </c>
      <c r="X18" s="415">
        <v>0.04</v>
      </c>
      <c r="Y18" s="657">
        <v>0.04</v>
      </c>
      <c r="Z18" s="415">
        <v>0.09</v>
      </c>
      <c r="AA18" s="415">
        <v>0.13</v>
      </c>
      <c r="AB18" s="657">
        <v>0.11</v>
      </c>
      <c r="AC18" s="415">
        <v>0.15</v>
      </c>
      <c r="AD18" s="414">
        <v>0.14000000000000001</v>
      </c>
      <c r="AE18" s="657">
        <v>0.14000000000000001</v>
      </c>
      <c r="AF18" s="415">
        <v>7.0000000000000007E-2</v>
      </c>
      <c r="AG18" s="415">
        <v>0</v>
      </c>
      <c r="AH18" s="657">
        <v>0.04</v>
      </c>
      <c r="AI18" s="415">
        <v>-0.04</v>
      </c>
      <c r="AJ18" s="415">
        <v>-0.18</v>
      </c>
      <c r="AK18" s="657">
        <v>-0.11</v>
      </c>
      <c r="AL18" s="415">
        <v>-0.23</v>
      </c>
      <c r="AM18" s="415">
        <v>0.06</v>
      </c>
      <c r="AN18" s="657">
        <v>-0.1</v>
      </c>
      <c r="AO18" s="415">
        <v>0.33</v>
      </c>
      <c r="AP18" s="415">
        <v>0.18</v>
      </c>
      <c r="AQ18" s="657">
        <v>0.24</v>
      </c>
      <c r="AR18" s="415">
        <v>-0.01</v>
      </c>
      <c r="AS18" s="415">
        <v>-0.11</v>
      </c>
      <c r="AT18" s="657">
        <v>-0.06</v>
      </c>
      <c r="AU18" s="415">
        <v>-0.19</v>
      </c>
      <c r="AV18" s="415">
        <f>[1]Interims!BO289</f>
        <v>-0.22</v>
      </c>
      <c r="AW18" s="657">
        <f>[1]Interims!BP289</f>
        <v>-0.20444191343963558</v>
      </c>
      <c r="AX18" s="415">
        <f>[1]Interims!BQ289</f>
        <v>-0.17146776406035666</v>
      </c>
      <c r="AY18" s="415">
        <f>[1]Interims!BR289</f>
        <v>-0.09</v>
      </c>
      <c r="AZ18" s="657">
        <f>[1]Interims!BS289</f>
        <v>-0.1334824757643549</v>
      </c>
    </row>
    <row r="19" spans="2:52" s="46" customFormat="1" ht="13" x14ac:dyDescent="0.3">
      <c r="B19" s="342" t="s">
        <v>111</v>
      </c>
      <c r="C19" s="43"/>
      <c r="D19" s="43"/>
      <c r="E19" s="43"/>
      <c r="F19" s="43"/>
      <c r="G19" s="43"/>
      <c r="H19" s="43"/>
      <c r="I19" s="43"/>
      <c r="J19" s="43"/>
      <c r="K19" s="43"/>
      <c r="L19" s="43"/>
      <c r="M19" s="43"/>
      <c r="N19" s="43"/>
      <c r="O19" s="43"/>
      <c r="P19" s="43"/>
      <c r="Q19" s="43"/>
      <c r="R19" s="43"/>
      <c r="S19" s="43"/>
      <c r="T19" s="44">
        <v>-0.06</v>
      </c>
      <c r="U19" s="44">
        <v>-0.06</v>
      </c>
      <c r="V19" s="664">
        <f t="shared" ref="V19" si="23">(1+V17)/(1+V18)-1</f>
        <v>-5.6074766355140193E-2</v>
      </c>
      <c r="W19" s="232">
        <f t="shared" ref="W19" si="24">(1+W17)/(1+W18)-1</f>
        <v>-0.13865375774129862</v>
      </c>
      <c r="X19" s="232">
        <f t="shared" ref="X19" si="25">(1+X17)/(1+X18)-1</f>
        <v>4.6567781993789303E-3</v>
      </c>
      <c r="Y19" s="664">
        <f t="shared" ref="Y19" si="26">(1+Y17)/(1+Y18)-1</f>
        <v>-7.381731462481278E-2</v>
      </c>
      <c r="Z19" s="232">
        <f t="shared" ref="Z19" si="27">(1+Z17)/(1+Z18)-1</f>
        <v>0.25588697017268447</v>
      </c>
      <c r="AA19" s="232">
        <f t="shared" ref="AA19" si="28">(1+AA17)/(1+AA18)-1</f>
        <v>0.18373909630698737</v>
      </c>
      <c r="AB19" s="664">
        <f t="shared" ref="AB19" si="29">(1+AB17)/(1+AB18)-1</f>
        <v>0.2185089280897663</v>
      </c>
      <c r="AC19" s="232">
        <f t="shared" ref="AC19" si="30">(1+AC17)/(1+AC18)-1</f>
        <v>-4.7865975269246741E-3</v>
      </c>
      <c r="AD19" s="232">
        <f t="shared" ref="AD19" si="31">(1+AD17)/(1+AD18)-1</f>
        <v>-6.557838446383335E-2</v>
      </c>
      <c r="AE19" s="664">
        <f t="shared" ref="AE19" si="32">(1+AE17)/(1+AE18)-1</f>
        <v>-3.2029437179001641E-2</v>
      </c>
      <c r="AF19" s="232">
        <f t="shared" ref="AF19" si="33">(1+AF17)/(1+AF18)-1</f>
        <v>-4.9500870900679894E-2</v>
      </c>
      <c r="AG19" s="232">
        <f t="shared" ref="AG19" si="34">(1+AG17)/(1+AG18)-1</f>
        <v>-2.6104417670682722E-2</v>
      </c>
      <c r="AH19" s="664">
        <f t="shared" ref="AH19:AM19" si="35">(1+AH17)/(1+AH18)-1</f>
        <v>-4.280148136717854E-2</v>
      </c>
      <c r="AI19" s="232">
        <f t="shared" si="35"/>
        <v>-2.7093596059113323E-2</v>
      </c>
      <c r="AJ19" s="232">
        <f t="shared" si="35"/>
        <v>-4.8277596178023741E-2</v>
      </c>
      <c r="AK19" s="664">
        <f t="shared" si="35"/>
        <v>-3.4896555627883297E-2</v>
      </c>
      <c r="AL19" s="232">
        <v>0.01</v>
      </c>
      <c r="AM19" s="232">
        <f t="shared" si="35"/>
        <v>6.5526781486004548E-2</v>
      </c>
      <c r="AN19" s="664">
        <f t="shared" ref="AN19:AT19" si="36">(1+AN17)/(1+AN18)-1</f>
        <v>4.2033235581622641E-2</v>
      </c>
      <c r="AO19" s="45">
        <f t="shared" si="36"/>
        <v>-3.2864419112296983E-2</v>
      </c>
      <c r="AP19" s="45">
        <f t="shared" si="36"/>
        <v>-8.8214887501238959E-3</v>
      </c>
      <c r="AQ19" s="664">
        <f t="shared" si="36"/>
        <v>-1.2991990962093358E-2</v>
      </c>
      <c r="AR19" s="45">
        <f t="shared" si="36"/>
        <v>5.3952004030934697E-2</v>
      </c>
      <c r="AS19" s="45">
        <f t="shared" si="36"/>
        <v>-1.1235955056179803E-2</v>
      </c>
      <c r="AT19" s="664">
        <f t="shared" si="36"/>
        <v>2.4355612184959519E-2</v>
      </c>
      <c r="AU19" s="45">
        <v>-7.0000000000000007E-2</v>
      </c>
      <c r="AV19" s="45">
        <f>AV17-AV18</f>
        <v>-4.1780514263359908E-2</v>
      </c>
      <c r="AW19" s="664">
        <f>AW17-AW18</f>
        <v>-5.4211630751883066E-2</v>
      </c>
      <c r="AX19" s="45">
        <f>AX17-AX18</f>
        <v>-1.5168705619187178E-2</v>
      </c>
      <c r="AY19" s="45">
        <f>AY17-AY18</f>
        <v>-5.6714243674782366E-2</v>
      </c>
      <c r="AZ19" s="664">
        <f>AZ17-AZ18</f>
        <v>-3.4488262750399068E-2</v>
      </c>
    </row>
    <row r="20" spans="2:52" s="21" customFormat="1" x14ac:dyDescent="0.3">
      <c r="B20" s="14" t="s">
        <v>112</v>
      </c>
      <c r="T20" s="22">
        <v>83.2</v>
      </c>
      <c r="U20" s="22">
        <v>74.600000000000009</v>
      </c>
      <c r="V20" s="655">
        <v>157.80000000000001</v>
      </c>
      <c r="W20" s="233">
        <v>84.6</v>
      </c>
      <c r="X20" s="233">
        <f>Y20-W20</f>
        <v>90.5</v>
      </c>
      <c r="Y20" s="655">
        <v>175.1</v>
      </c>
      <c r="Z20" s="233">
        <v>110.7</v>
      </c>
      <c r="AA20" s="233">
        <f>AB20-Z20</f>
        <v>119.60000000000001</v>
      </c>
      <c r="AB20" s="655">
        <v>230.3</v>
      </c>
      <c r="AC20" s="233">
        <v>134.80000000000001</v>
      </c>
      <c r="AD20" s="233">
        <v>141.19999999999999</v>
      </c>
      <c r="AE20" s="655">
        <v>276</v>
      </c>
      <c r="AF20" s="233">
        <v>153.69999999999999</v>
      </c>
      <c r="AG20" s="233">
        <v>146.1</v>
      </c>
      <c r="AH20" s="655">
        <v>299.8</v>
      </c>
      <c r="AI20" s="233">
        <v>144.9</v>
      </c>
      <c r="AJ20" s="233">
        <v>114.9</v>
      </c>
      <c r="AK20" s="655">
        <v>259.8</v>
      </c>
      <c r="AL20" s="22">
        <v>110.5</v>
      </c>
      <c r="AM20" s="22">
        <v>134.30000000000001</v>
      </c>
      <c r="AN20" s="655">
        <v>244.8</v>
      </c>
      <c r="AO20" s="22">
        <v>143.6</v>
      </c>
      <c r="AP20" s="22">
        <v>170.3</v>
      </c>
      <c r="AQ20" s="655">
        <v>313.89999999999998</v>
      </c>
      <c r="AR20" s="22">
        <v>180.22925127630523</v>
      </c>
      <c r="AS20" s="22">
        <v>201.80936326421468</v>
      </c>
      <c r="AT20" s="655">
        <v>382.03861454051992</v>
      </c>
      <c r="AU20" s="22">
        <v>186.2</v>
      </c>
      <c r="AV20" s="22">
        <f>[1]Interims!BO30</f>
        <v>165.59273321817801</v>
      </c>
      <c r="AW20" s="655">
        <f>[1]Interims!BP30</f>
        <v>351.83942323573763</v>
      </c>
      <c r="AX20" s="22">
        <f>[1]Interims!BQ30</f>
        <v>157.08320577658614</v>
      </c>
      <c r="AY20" s="22">
        <f>[1]Interims!BR30</f>
        <v>151.85624107164685</v>
      </c>
      <c r="AZ20" s="655">
        <f>[1]Interims!BS30</f>
        <v>308.93944684823299</v>
      </c>
    </row>
    <row r="21" spans="2:52" s="35" customFormat="1" ht="13" x14ac:dyDescent="0.3">
      <c r="B21" s="197" t="s">
        <v>560</v>
      </c>
      <c r="C21" s="121"/>
      <c r="D21" s="121"/>
      <c r="E21" s="121"/>
      <c r="F21" s="121"/>
      <c r="G21" s="121"/>
      <c r="H21" s="121"/>
      <c r="I21" s="121"/>
      <c r="J21" s="121"/>
      <c r="K21" s="121"/>
      <c r="L21" s="121"/>
      <c r="M21" s="121"/>
      <c r="N21" s="121"/>
      <c r="O21" s="121"/>
      <c r="P21" s="121"/>
      <c r="Q21" s="121"/>
      <c r="R21" s="121"/>
      <c r="S21" s="121"/>
      <c r="T21" s="122">
        <v>-0.01</v>
      </c>
      <c r="U21" s="122">
        <v>-7.0000000000000007E-2</v>
      </c>
      <c r="V21" s="662">
        <v>-0.04</v>
      </c>
      <c r="W21" s="629">
        <f t="shared" ref="W21:AT21" si="37">W20/T20-1</f>
        <v>1.6826923076922906E-2</v>
      </c>
      <c r="X21" s="629">
        <f t="shared" si="37"/>
        <v>0.21313672922251992</v>
      </c>
      <c r="Y21" s="662">
        <f t="shared" si="37"/>
        <v>0.10963244613434719</v>
      </c>
      <c r="Z21" s="629">
        <f t="shared" si="37"/>
        <v>0.3085106382978724</v>
      </c>
      <c r="AA21" s="629">
        <f t="shared" si="37"/>
        <v>0.32154696132596694</v>
      </c>
      <c r="AB21" s="662">
        <f t="shared" si="37"/>
        <v>0.3152484294688751</v>
      </c>
      <c r="AC21" s="629">
        <v>0.22</v>
      </c>
      <c r="AD21" s="629">
        <f t="shared" si="37"/>
        <v>0.18060200668896309</v>
      </c>
      <c r="AE21" s="662">
        <f t="shared" si="37"/>
        <v>0.1984368215371255</v>
      </c>
      <c r="AF21" s="629">
        <f t="shared" si="37"/>
        <v>0.14020771513353103</v>
      </c>
      <c r="AG21" s="629">
        <f t="shared" si="37"/>
        <v>3.4702549575070796E-2</v>
      </c>
      <c r="AH21" s="662">
        <f t="shared" si="37"/>
        <v>8.6231884057970998E-2</v>
      </c>
      <c r="AI21" s="629">
        <f t="shared" si="37"/>
        <v>-5.7254391672088345E-2</v>
      </c>
      <c r="AJ21" s="629">
        <f t="shared" si="37"/>
        <v>-0.21355236139630385</v>
      </c>
      <c r="AK21" s="662">
        <f t="shared" si="37"/>
        <v>-0.13342228152101399</v>
      </c>
      <c r="AL21" s="122">
        <f t="shared" si="37"/>
        <v>-0.23740510697032435</v>
      </c>
      <c r="AM21" s="629">
        <f t="shared" si="37"/>
        <v>0.16884247171453448</v>
      </c>
      <c r="AN21" s="662">
        <f t="shared" si="37"/>
        <v>-5.773672055427248E-2</v>
      </c>
      <c r="AO21" s="122">
        <f t="shared" si="37"/>
        <v>0.29954751131221724</v>
      </c>
      <c r="AP21" s="122">
        <f t="shared" si="37"/>
        <v>0.26805658972449731</v>
      </c>
      <c r="AQ21" s="662">
        <f t="shared" si="37"/>
        <v>0.28227124183006524</v>
      </c>
      <c r="AR21" s="122">
        <v>0.25</v>
      </c>
      <c r="AS21" s="122">
        <v>0.18</v>
      </c>
      <c r="AT21" s="662">
        <f t="shared" si="37"/>
        <v>0.21707108805517672</v>
      </c>
      <c r="AU21" s="122">
        <v>0.03</v>
      </c>
      <c r="AV21" s="122">
        <f>AV20/AS20-1</f>
        <v>-0.17945961208262085</v>
      </c>
      <c r="AW21" s="662">
        <f>AW20/AT20-1</f>
        <v>-7.9047484090326914E-2</v>
      </c>
      <c r="AX21" s="122">
        <f>AX20/AU20-1</f>
        <v>-0.15637376059835584</v>
      </c>
      <c r="AY21" s="122">
        <f>AY20/AV20-1</f>
        <v>-8.2953471928218891E-2</v>
      </c>
      <c r="AZ21" s="662">
        <f>AZ20/AW20-1</f>
        <v>-0.12193055568636779</v>
      </c>
    </row>
    <row r="22" spans="2:52" s="417" customFormat="1" ht="14.5" x14ac:dyDescent="0.3">
      <c r="B22" s="418" t="s">
        <v>110</v>
      </c>
      <c r="C22" s="413"/>
      <c r="D22" s="413"/>
      <c r="E22" s="413"/>
      <c r="F22" s="413"/>
      <c r="G22" s="413"/>
      <c r="H22" s="413"/>
      <c r="I22" s="413"/>
      <c r="J22" s="413"/>
      <c r="K22" s="413"/>
      <c r="L22" s="413"/>
      <c r="M22" s="413"/>
      <c r="N22" s="413"/>
      <c r="O22" s="413"/>
      <c r="P22" s="413"/>
      <c r="Q22" s="413"/>
      <c r="R22" s="413"/>
      <c r="S22" s="413"/>
      <c r="T22" s="414">
        <v>7.0000000000000007E-2</v>
      </c>
      <c r="U22" s="414">
        <v>0.05</v>
      </c>
      <c r="V22" s="658">
        <v>0.06</v>
      </c>
      <c r="W22" s="419">
        <v>0.12</v>
      </c>
      <c r="X22" s="419">
        <v>0.14000000000000001</v>
      </c>
      <c r="Y22" s="658">
        <v>0.13</v>
      </c>
      <c r="Z22" s="419">
        <v>0.1</v>
      </c>
      <c r="AA22" s="419">
        <v>0.19</v>
      </c>
      <c r="AB22" s="658">
        <v>0.14000000000000001</v>
      </c>
      <c r="AC22" s="419">
        <v>0.17</v>
      </c>
      <c r="AD22" s="419">
        <v>0.16</v>
      </c>
      <c r="AE22" s="658">
        <v>0.16</v>
      </c>
      <c r="AF22" s="419">
        <v>0.14000000000000001</v>
      </c>
      <c r="AG22" s="420">
        <f>(2*AH22)-AF22</f>
        <v>3.999999999999998E-2</v>
      </c>
      <c r="AH22" s="658">
        <v>0.09</v>
      </c>
      <c r="AI22" s="419">
        <v>-0.05</v>
      </c>
      <c r="AJ22" s="419">
        <v>-0.22</v>
      </c>
      <c r="AK22" s="658">
        <v>-0.13</v>
      </c>
      <c r="AL22" s="415">
        <v>-0.26</v>
      </c>
      <c r="AM22" s="415">
        <v>0.18</v>
      </c>
      <c r="AN22" s="658">
        <v>-7.0000000000000007E-2</v>
      </c>
      <c r="AO22" s="415">
        <v>0.38</v>
      </c>
      <c r="AP22" s="415">
        <v>0.31</v>
      </c>
      <c r="AQ22" s="658">
        <v>0.34</v>
      </c>
      <c r="AR22" s="415">
        <v>0.24</v>
      </c>
      <c r="AS22" s="415">
        <v>0.14000000000000001</v>
      </c>
      <c r="AT22" s="658">
        <v>0.19</v>
      </c>
      <c r="AU22" s="415">
        <v>0.03</v>
      </c>
      <c r="AV22" s="415">
        <f>[1]Interims!BO293</f>
        <v>-0.16</v>
      </c>
      <c r="AW22" s="658">
        <f>[1]Interims!BP293</f>
        <v>-6.7832538420773622E-2</v>
      </c>
      <c r="AX22" s="415">
        <f>[1]Interims!BQ293</f>
        <v>-0.13156440022111662</v>
      </c>
      <c r="AY22" s="415">
        <f>[1]Interims!BR293</f>
        <v>-7.0000000000000007E-2</v>
      </c>
      <c r="AZ22" s="658">
        <f>[1]Interims!BS293</f>
        <v>-0.10281731048504221</v>
      </c>
    </row>
    <row r="23" spans="2:52" s="46" customFormat="1" ht="13" x14ac:dyDescent="0.3">
      <c r="B23" s="42" t="s">
        <v>111</v>
      </c>
      <c r="C23" s="43"/>
      <c r="D23" s="43"/>
      <c r="E23" s="43"/>
      <c r="F23" s="43"/>
      <c r="G23" s="43"/>
      <c r="H23" s="43"/>
      <c r="I23" s="43"/>
      <c r="J23" s="43"/>
      <c r="K23" s="43"/>
      <c r="L23" s="43"/>
      <c r="M23" s="43"/>
      <c r="N23" s="43"/>
      <c r="O23" s="43"/>
      <c r="P23" s="43"/>
      <c r="Q23" s="43"/>
      <c r="R23" s="43"/>
      <c r="S23" s="43"/>
      <c r="T23" s="44">
        <v>-7.0000000000000007E-2</v>
      </c>
      <c r="U23" s="44">
        <v>-0.11</v>
      </c>
      <c r="V23" s="664">
        <f t="shared" ref="V23" si="38">(1+V21)/(1+V22)-1</f>
        <v>-9.4339622641509524E-2</v>
      </c>
      <c r="W23" s="232">
        <f t="shared" ref="W23" si="39">(1+W21)/(1+W22)-1</f>
        <v>-9.2118818681318881E-2</v>
      </c>
      <c r="X23" s="232">
        <f t="shared" ref="X23" si="40">(1+X21)/(1+X22)-1</f>
        <v>6.4155025633789275E-2</v>
      </c>
      <c r="Y23" s="664">
        <f t="shared" ref="Y23" si="41">(1+Y21)/(1+Y22)-1</f>
        <v>-1.8024383951905087E-2</v>
      </c>
      <c r="Z23" s="232">
        <f t="shared" ref="Z23" si="42">(1+Z21)/(1+Z22)-1</f>
        <v>0.1895551257253385</v>
      </c>
      <c r="AA23" s="232">
        <f t="shared" ref="AA23" si="43">(1+AA21)/(1+AA22)-1</f>
        <v>0.11054366497980417</v>
      </c>
      <c r="AB23" s="664">
        <f t="shared" ref="AB23" si="44">(1+AB21)/(1+AB22)-1</f>
        <v>0.15372669251655702</v>
      </c>
      <c r="AC23" s="232">
        <f t="shared" ref="AC23" si="45">(1+AC21)/(1+AC22)-1</f>
        <v>4.2735042735042805E-2</v>
      </c>
      <c r="AD23" s="232">
        <f t="shared" ref="AD23" si="46">(1+AD21)/(1+AD22)-1</f>
        <v>1.776035059393366E-2</v>
      </c>
      <c r="AE23" s="664">
        <f t="shared" ref="AE23" si="47">(1+AE21)/(1+AE22)-1</f>
        <v>3.3135190980280615E-2</v>
      </c>
      <c r="AF23" s="232">
        <f t="shared" ref="AF23" si="48">(1+AF21)/(1+AF22)-1</f>
        <v>1.822062574832195E-4</v>
      </c>
      <c r="AG23" s="232">
        <f t="shared" ref="AG23" si="49">(1+AG21)/(1+AG22)-1</f>
        <v>-5.0937023316627306E-3</v>
      </c>
      <c r="AH23" s="664">
        <f t="shared" ref="AH23:AM23" si="50">(1+AH21)/(1+AH22)-1</f>
        <v>-3.4569871027789745E-3</v>
      </c>
      <c r="AI23" s="232">
        <f t="shared" si="50"/>
        <v>-7.6362017600929422E-3</v>
      </c>
      <c r="AJ23" s="232">
        <f t="shared" si="50"/>
        <v>8.2662033380720423E-3</v>
      </c>
      <c r="AK23" s="664">
        <f t="shared" si="50"/>
        <v>-3.933656920705686E-3</v>
      </c>
      <c r="AL23" s="232">
        <v>0.02</v>
      </c>
      <c r="AM23" s="232">
        <f t="shared" si="50"/>
        <v>-9.4555324453097223E-3</v>
      </c>
      <c r="AN23" s="664">
        <f t="shared" ref="AN23:AT23" si="51">(1+AN21)/(1+AN22)-1</f>
        <v>1.3186321984653304E-2</v>
      </c>
      <c r="AO23" s="45">
        <f t="shared" si="51"/>
        <v>-5.8298904846219357E-2</v>
      </c>
      <c r="AP23" s="45">
        <f t="shared" si="51"/>
        <v>-3.2017870439315033E-2</v>
      </c>
      <c r="AQ23" s="664">
        <f t="shared" si="51"/>
        <v>-4.3081162813384255E-2</v>
      </c>
      <c r="AR23" s="45">
        <f t="shared" si="51"/>
        <v>8.0645161290322509E-3</v>
      </c>
      <c r="AS23" s="45">
        <f t="shared" si="51"/>
        <v>3.5087719298245501E-2</v>
      </c>
      <c r="AT23" s="664">
        <f t="shared" si="51"/>
        <v>2.274881349174529E-2</v>
      </c>
      <c r="AU23" s="45">
        <v>0</v>
      </c>
      <c r="AV23" s="45">
        <f>AV21-AV22</f>
        <v>-1.9459612082620842E-2</v>
      </c>
      <c r="AW23" s="664">
        <f>AW21-AW22</f>
        <v>-1.1214945669553292E-2</v>
      </c>
      <c r="AX23" s="45">
        <f>AX21-AX22</f>
        <v>-2.4809360377239215E-2</v>
      </c>
      <c r="AY23" s="45">
        <f>AY21-AY22</f>
        <v>-1.2953471928218885E-2</v>
      </c>
      <c r="AZ23" s="664">
        <f>AZ21-AZ22</f>
        <v>-1.9113245201325582E-2</v>
      </c>
    </row>
    <row r="24" spans="2:52" s="21" customFormat="1" x14ac:dyDescent="0.3">
      <c r="B24" s="14" t="s">
        <v>706</v>
      </c>
      <c r="T24" s="22">
        <v>135.1</v>
      </c>
      <c r="U24" s="22">
        <v>136.80000000000001</v>
      </c>
      <c r="V24" s="655">
        <v>271.89999999999998</v>
      </c>
      <c r="W24" s="233">
        <v>139.4</v>
      </c>
      <c r="X24" s="233">
        <f>Y24-W24</f>
        <v>132.29999999999998</v>
      </c>
      <c r="Y24" s="655">
        <v>271.7</v>
      </c>
      <c r="Z24" s="233">
        <v>126.1</v>
      </c>
      <c r="AA24" s="233">
        <f>AB24-Z24</f>
        <v>126.80000000000001</v>
      </c>
      <c r="AB24" s="655">
        <v>252.9</v>
      </c>
      <c r="AC24" s="233">
        <v>127.5</v>
      </c>
      <c r="AD24" s="233">
        <v>130.69999999999999</v>
      </c>
      <c r="AE24" s="655">
        <v>258.2</v>
      </c>
      <c r="AF24" s="233">
        <v>131.69999999999999</v>
      </c>
      <c r="AG24" s="233">
        <v>132.1</v>
      </c>
      <c r="AH24" s="655">
        <v>263.8</v>
      </c>
      <c r="AI24" s="233">
        <v>126.7</v>
      </c>
      <c r="AJ24" s="233">
        <v>98.9</v>
      </c>
      <c r="AK24" s="655">
        <v>225.6</v>
      </c>
      <c r="AL24" s="22">
        <v>92.4</v>
      </c>
      <c r="AM24" s="22">
        <v>108.7</v>
      </c>
      <c r="AN24" s="655">
        <v>201.1</v>
      </c>
      <c r="AO24" s="22">
        <v>127.8</v>
      </c>
      <c r="AP24" s="22">
        <v>135.5</v>
      </c>
      <c r="AQ24" s="655">
        <v>263.3</v>
      </c>
      <c r="AR24" s="22">
        <v>136.92767576914096</v>
      </c>
      <c r="AS24" s="22">
        <v>129.20383930102795</v>
      </c>
      <c r="AT24" s="655">
        <v>266.13151507016892</v>
      </c>
      <c r="AU24" s="22">
        <v>118.1</v>
      </c>
      <c r="AV24" s="22">
        <f>[1]Interims!BO31</f>
        <v>107.57485068853779</v>
      </c>
      <c r="AW24" s="655">
        <f>[1]Interims!BP31</f>
        <v>225.68036663809917</v>
      </c>
      <c r="AX24" s="22">
        <f>[1]Interims!BQ31</f>
        <v>97.436773613198667</v>
      </c>
      <c r="AY24" s="22">
        <f>[1]Interims!BR31</f>
        <v>94.730370191769921</v>
      </c>
      <c r="AZ24" s="655">
        <f>[1]Interims!BS31</f>
        <v>192.16714380496859</v>
      </c>
    </row>
    <row r="25" spans="2:52" s="35" customFormat="1" ht="13" x14ac:dyDescent="0.3">
      <c r="B25" s="197" t="s">
        <v>560</v>
      </c>
      <c r="C25" s="121"/>
      <c r="D25" s="121"/>
      <c r="E25" s="121"/>
      <c r="F25" s="121"/>
      <c r="G25" s="121"/>
      <c r="H25" s="121"/>
      <c r="I25" s="121"/>
      <c r="J25" s="121"/>
      <c r="K25" s="121"/>
      <c r="L25" s="121"/>
      <c r="M25" s="121"/>
      <c r="N25" s="121"/>
      <c r="O25" s="121"/>
      <c r="P25" s="121"/>
      <c r="Q25" s="121"/>
      <c r="R25" s="121"/>
      <c r="S25" s="121"/>
      <c r="T25" s="122">
        <v>0.13</v>
      </c>
      <c r="U25" s="122">
        <v>0.09</v>
      </c>
      <c r="V25" s="662">
        <v>0.11</v>
      </c>
      <c r="W25" s="629">
        <f t="shared" ref="W25" si="52">W24/T24-1</f>
        <v>3.1828275351591495E-2</v>
      </c>
      <c r="X25" s="629">
        <f t="shared" ref="X25" si="53">X24/U24-1</f>
        <v>-3.2894736842105421E-2</v>
      </c>
      <c r="Y25" s="662">
        <f t="shared" ref="Y25" si="54">Y24/V24-1</f>
        <v>-7.3556454578882491E-4</v>
      </c>
      <c r="Z25" s="629">
        <f t="shared" ref="Z25" si="55">Z24/W24-1</f>
        <v>-9.5408895265423288E-2</v>
      </c>
      <c r="AA25" s="629">
        <f t="shared" ref="AA25" si="56">AA24/X24-1</f>
        <v>-4.1572184429327086E-2</v>
      </c>
      <c r="AB25" s="662">
        <f t="shared" ref="AB25" si="57">AB24/Y24-1</f>
        <v>-6.9193963930806013E-2</v>
      </c>
      <c r="AC25" s="629">
        <v>0.22</v>
      </c>
      <c r="AD25" s="629">
        <f t="shared" ref="AD25" si="58">AD24/AA24-1</f>
        <v>3.0757097791797916E-2</v>
      </c>
      <c r="AE25" s="662">
        <f t="shared" ref="AE25" si="59">AE24/AB24-1</f>
        <v>2.0956899960458575E-2</v>
      </c>
      <c r="AF25" s="629">
        <f t="shared" ref="AF25" si="60">AF24/AC24-1</f>
        <v>3.2941176470588251E-2</v>
      </c>
      <c r="AG25" s="629">
        <f t="shared" ref="AG25" si="61">AG24/AD24-1</f>
        <v>1.0711553175210442E-2</v>
      </c>
      <c r="AH25" s="662">
        <f>AH24/AE24-1</f>
        <v>2.1688613477924168E-2</v>
      </c>
      <c r="AI25" s="629">
        <f t="shared" ref="AI25:AM25" si="62">AI24/AF24-1</f>
        <v>-3.7965072133636979E-2</v>
      </c>
      <c r="AJ25" s="629">
        <f t="shared" si="62"/>
        <v>-0.25132475397426179</v>
      </c>
      <c r="AK25" s="662">
        <f t="shared" si="62"/>
        <v>-0.14480667172100081</v>
      </c>
      <c r="AL25" s="122">
        <f t="shared" si="62"/>
        <v>-0.27071823204419887</v>
      </c>
      <c r="AM25" s="629">
        <f t="shared" si="62"/>
        <v>9.9089989888776486E-2</v>
      </c>
      <c r="AN25" s="662">
        <v>-0.11</v>
      </c>
      <c r="AO25" s="122">
        <f t="shared" ref="AO25:AR25" si="63">AO24/AL24-1</f>
        <v>0.38311688311688297</v>
      </c>
      <c r="AP25" s="122">
        <f t="shared" si="63"/>
        <v>0.24655013799448011</v>
      </c>
      <c r="AQ25" s="662">
        <v>0.31</v>
      </c>
      <c r="AR25" s="122">
        <f t="shared" si="63"/>
        <v>7.14215631388182E-2</v>
      </c>
      <c r="AS25" s="122">
        <f t="shared" ref="AS25" si="64">AS24/AP24-1</f>
        <v>-4.6466130619719936E-2</v>
      </c>
      <c r="AT25" s="662">
        <f t="shared" ref="AT25" si="65">AT24/AQ24-1</f>
        <v>1.0753950133569612E-2</v>
      </c>
      <c r="AU25" s="122">
        <v>-0.14000000000000001</v>
      </c>
      <c r="AV25" s="122">
        <f>AV24/AS24-1</f>
        <v>-0.16740205809285169</v>
      </c>
      <c r="AW25" s="662">
        <f>AW24/AT24-1</f>
        <v>-0.15199683668206032</v>
      </c>
      <c r="AX25" s="122">
        <f>AX24/AU24-1</f>
        <v>-0.17496381360543034</v>
      </c>
      <c r="AY25" s="122">
        <f>AY24/AV24-1</f>
        <v>-0.11940040273870878</v>
      </c>
      <c r="AZ25" s="662">
        <f>AZ24/AW24-1</f>
        <v>-0.14849861923023355</v>
      </c>
    </row>
    <row r="26" spans="2:52" s="417" customFormat="1" ht="14.5" x14ac:dyDescent="0.3">
      <c r="B26" s="418" t="s">
        <v>110</v>
      </c>
      <c r="C26" s="413"/>
      <c r="D26" s="413"/>
      <c r="E26" s="413"/>
      <c r="F26" s="413"/>
      <c r="G26" s="413"/>
      <c r="H26" s="413"/>
      <c r="I26" s="413"/>
      <c r="J26" s="413"/>
      <c r="K26" s="413"/>
      <c r="L26" s="413"/>
      <c r="M26" s="413"/>
      <c r="N26" s="413"/>
      <c r="O26" s="413"/>
      <c r="P26" s="413"/>
      <c r="Q26" s="413"/>
      <c r="R26" s="413"/>
      <c r="S26" s="413"/>
      <c r="T26" s="414">
        <f>T25</f>
        <v>0.13</v>
      </c>
      <c r="U26" s="414">
        <f>U25</f>
        <v>0.09</v>
      </c>
      <c r="V26" s="658">
        <f t="shared" ref="V26:AF26" si="66">V25</f>
        <v>0.11</v>
      </c>
      <c r="W26" s="419">
        <f t="shared" si="66"/>
        <v>3.1828275351591495E-2</v>
      </c>
      <c r="X26" s="419">
        <f t="shared" si="66"/>
        <v>-3.2894736842105421E-2</v>
      </c>
      <c r="Y26" s="658">
        <v>0</v>
      </c>
      <c r="Z26" s="419">
        <f t="shared" si="66"/>
        <v>-9.5408895265423288E-2</v>
      </c>
      <c r="AA26" s="419">
        <f t="shared" si="66"/>
        <v>-4.1572184429327086E-2</v>
      </c>
      <c r="AB26" s="658">
        <f t="shared" si="66"/>
        <v>-6.9193963930806013E-2</v>
      </c>
      <c r="AC26" s="419">
        <f t="shared" si="66"/>
        <v>0.22</v>
      </c>
      <c r="AD26" s="420">
        <v>0.03</v>
      </c>
      <c r="AE26" s="658">
        <f t="shared" si="66"/>
        <v>2.0956899960458575E-2</v>
      </c>
      <c r="AF26" s="419">
        <f t="shared" si="66"/>
        <v>3.2941176470588251E-2</v>
      </c>
      <c r="AG26" s="420">
        <f t="shared" ref="AG26" si="67">AG25</f>
        <v>1.0711553175210442E-2</v>
      </c>
      <c r="AH26" s="658">
        <v>0.02</v>
      </c>
      <c r="AI26" s="419">
        <v>-0.04</v>
      </c>
      <c r="AJ26" s="419">
        <v>-0.25</v>
      </c>
      <c r="AK26" s="658">
        <v>-0.14000000000000001</v>
      </c>
      <c r="AL26" s="415">
        <v>-0.27</v>
      </c>
      <c r="AM26" s="415">
        <v>0.1</v>
      </c>
      <c r="AN26" s="658">
        <v>-0.11</v>
      </c>
      <c r="AO26" s="415">
        <v>0.39</v>
      </c>
      <c r="AP26" s="415">
        <v>0.25</v>
      </c>
      <c r="AQ26" s="658">
        <v>0.31</v>
      </c>
      <c r="AR26" s="415">
        <v>7.0000000000000007E-2</v>
      </c>
      <c r="AS26" s="415">
        <v>-0.05</v>
      </c>
      <c r="AT26" s="658">
        <v>0.01</v>
      </c>
      <c r="AU26" s="415">
        <v>-0.14000000000000001</v>
      </c>
      <c r="AV26" s="415">
        <f>[1]Interims!BO297</f>
        <v>-0.16740205809285169</v>
      </c>
      <c r="AW26" s="658">
        <f>[1]Interims!BP297</f>
        <v>-0.15118465588567145</v>
      </c>
      <c r="AX26" s="415">
        <f>[1]Interims!BQ297</f>
        <v>-0.17387616624257837</v>
      </c>
      <c r="AY26" s="415">
        <f>[1]Interims!BR297</f>
        <v>-0.12</v>
      </c>
      <c r="AZ26" s="658">
        <f>[1]Interims!BS297</f>
        <v>-0.14767184035476724</v>
      </c>
    </row>
    <row r="27" spans="2:52" s="46" customFormat="1" ht="13" x14ac:dyDescent="0.3">
      <c r="B27" s="42" t="s">
        <v>111</v>
      </c>
      <c r="C27" s="43"/>
      <c r="D27" s="43"/>
      <c r="E27" s="43"/>
      <c r="F27" s="43"/>
      <c r="G27" s="43"/>
      <c r="H27" s="43"/>
      <c r="I27" s="43"/>
      <c r="J27" s="43"/>
      <c r="K27" s="43"/>
      <c r="L27" s="43"/>
      <c r="M27" s="43"/>
      <c r="N27" s="43"/>
      <c r="O27" s="43"/>
      <c r="P27" s="43"/>
      <c r="Q27" s="43"/>
      <c r="R27" s="43"/>
      <c r="S27" s="43"/>
      <c r="T27" s="44">
        <v>0</v>
      </c>
      <c r="U27" s="44">
        <v>0</v>
      </c>
      <c r="V27" s="664">
        <v>0</v>
      </c>
      <c r="W27" s="232">
        <v>0</v>
      </c>
      <c r="X27" s="232">
        <v>0</v>
      </c>
      <c r="Y27" s="664">
        <v>0</v>
      </c>
      <c r="Z27" s="232">
        <v>0</v>
      </c>
      <c r="AA27" s="232">
        <v>0</v>
      </c>
      <c r="AB27" s="664">
        <v>0</v>
      </c>
      <c r="AC27" s="232">
        <v>0</v>
      </c>
      <c r="AD27" s="232">
        <v>0</v>
      </c>
      <c r="AE27" s="664">
        <v>0</v>
      </c>
      <c r="AF27" s="232">
        <v>0</v>
      </c>
      <c r="AG27" s="232">
        <v>0</v>
      </c>
      <c r="AH27" s="664">
        <v>0</v>
      </c>
      <c r="AI27" s="232">
        <v>0</v>
      </c>
      <c r="AJ27" s="232">
        <v>0</v>
      </c>
      <c r="AK27" s="664">
        <v>0</v>
      </c>
      <c r="AL27" s="45">
        <v>0</v>
      </c>
      <c r="AM27" s="232">
        <v>0</v>
      </c>
      <c r="AN27" s="664">
        <v>0</v>
      </c>
      <c r="AO27" s="45">
        <f t="shared" ref="AO27:AT27" si="68">(1+AO25)/(1+AO26)-1</f>
        <v>-4.9518826497245705E-3</v>
      </c>
      <c r="AP27" s="45">
        <v>0</v>
      </c>
      <c r="AQ27" s="664">
        <f t="shared" si="68"/>
        <v>0</v>
      </c>
      <c r="AR27" s="45">
        <f t="shared" si="68"/>
        <v>1.3285636811384283E-3</v>
      </c>
      <c r="AS27" s="45">
        <f t="shared" si="68"/>
        <v>3.7198625055581136E-3</v>
      </c>
      <c r="AT27" s="664">
        <f t="shared" si="68"/>
        <v>7.4648528076193266E-4</v>
      </c>
      <c r="AU27" s="45">
        <v>0</v>
      </c>
      <c r="AV27" s="45">
        <f>AV25-AV26</f>
        <v>0</v>
      </c>
      <c r="AW27" s="664">
        <f>AW25-AW26</f>
        <v>-8.121807963888672E-4</v>
      </c>
      <c r="AX27" s="45">
        <f>AX25-AX26</f>
        <v>-1.0876473628519678E-3</v>
      </c>
      <c r="AY27" s="45">
        <f>AY25-AY26</f>
        <v>5.9959726129121815E-4</v>
      </c>
      <c r="AZ27" s="664">
        <f>AZ25-AZ26</f>
        <v>-8.2677887546631079E-4</v>
      </c>
    </row>
    <row r="28" spans="2:52" s="27" customFormat="1" x14ac:dyDescent="0.3">
      <c r="B28" s="14" t="s">
        <v>707</v>
      </c>
      <c r="C28" s="21"/>
      <c r="D28" s="21"/>
      <c r="E28" s="21"/>
      <c r="F28" s="21"/>
      <c r="G28" s="21"/>
      <c r="H28" s="21"/>
      <c r="I28" s="21"/>
      <c r="J28" s="21"/>
      <c r="K28" s="21"/>
      <c r="L28" s="21"/>
      <c r="M28" s="21"/>
      <c r="N28" s="21"/>
      <c r="O28" s="21"/>
      <c r="P28" s="21"/>
      <c r="Q28" s="21"/>
      <c r="R28" s="21"/>
      <c r="S28" s="21"/>
      <c r="T28" s="26">
        <v>93.799999999999955</v>
      </c>
      <c r="U28" s="26">
        <v>102.00000000000006</v>
      </c>
      <c r="V28" s="655">
        <v>195.8</v>
      </c>
      <c r="W28" s="233">
        <v>109.2</v>
      </c>
      <c r="X28" s="233">
        <f>Y28-W28</f>
        <v>120.7</v>
      </c>
      <c r="Y28" s="655">
        <v>229.9</v>
      </c>
      <c r="Z28" s="233">
        <v>141.5</v>
      </c>
      <c r="AA28" s="233">
        <f>AB28-Z28</f>
        <v>149.19999999999999</v>
      </c>
      <c r="AB28" s="655">
        <v>290.7</v>
      </c>
      <c r="AC28" s="233">
        <v>163.69999999999999</v>
      </c>
      <c r="AD28" s="233">
        <v>175.5</v>
      </c>
      <c r="AE28" s="655">
        <v>339.2</v>
      </c>
      <c r="AF28" s="233">
        <v>181.1</v>
      </c>
      <c r="AG28" s="233">
        <v>186.5</v>
      </c>
      <c r="AH28" s="655">
        <v>367.6</v>
      </c>
      <c r="AI28" s="233">
        <v>186.7</v>
      </c>
      <c r="AJ28" s="233">
        <v>153.6</v>
      </c>
      <c r="AK28" s="655">
        <v>340.3</v>
      </c>
      <c r="AL28" s="22">
        <v>145.5</v>
      </c>
      <c r="AM28" s="22">
        <v>166.9</v>
      </c>
      <c r="AN28" s="655">
        <v>312.3</v>
      </c>
      <c r="AO28" s="22">
        <v>198.2</v>
      </c>
      <c r="AP28" s="22">
        <v>218.3</v>
      </c>
      <c r="AQ28" s="655">
        <v>416.5</v>
      </c>
      <c r="AR28" s="22">
        <v>234.88361026618932</v>
      </c>
      <c r="AS28" s="22">
        <v>223.17626632920414</v>
      </c>
      <c r="AT28" s="655">
        <v>458.05987659539346</v>
      </c>
      <c r="AU28" s="22">
        <v>204.7</v>
      </c>
      <c r="AV28" s="22">
        <f>[1]Interims!BO32</f>
        <v>191.72047131475546</v>
      </c>
      <c r="AW28" s="655">
        <f>[1]Interims!BP32</f>
        <v>396.38996068619133</v>
      </c>
      <c r="AX28" s="22">
        <f>[1]Interims!BQ32</f>
        <v>181.10940777332738</v>
      </c>
      <c r="AY28" s="22">
        <f>[1]Interims!BR32</f>
        <v>174.01590288472212</v>
      </c>
      <c r="AZ28" s="655">
        <f>[1]Interims!BS32</f>
        <v>355.1253106580495</v>
      </c>
    </row>
    <row r="29" spans="2:52" s="35" customFormat="1" ht="13" x14ac:dyDescent="0.3">
      <c r="B29" s="197" t="s">
        <v>560</v>
      </c>
      <c r="C29" s="121"/>
      <c r="D29" s="121"/>
      <c r="E29" s="121"/>
      <c r="F29" s="121"/>
      <c r="G29" s="121"/>
      <c r="H29" s="121"/>
      <c r="I29" s="121"/>
      <c r="J29" s="121"/>
      <c r="K29" s="121"/>
      <c r="L29" s="121"/>
      <c r="M29" s="121"/>
      <c r="N29" s="121"/>
      <c r="O29" s="121"/>
      <c r="P29" s="121"/>
      <c r="Q29" s="121"/>
      <c r="R29" s="121"/>
      <c r="S29" s="121"/>
      <c r="T29" s="122">
        <v>0.06</v>
      </c>
      <c r="U29" s="122">
        <v>0.16</v>
      </c>
      <c r="V29" s="662">
        <v>0.11</v>
      </c>
      <c r="W29" s="629">
        <f t="shared" ref="W29" si="69">W28/T28-1</f>
        <v>0.16417910447761264</v>
      </c>
      <c r="X29" s="629">
        <f t="shared" ref="X29" si="70">X28/U28-1</f>
        <v>0.18333333333333268</v>
      </c>
      <c r="Y29" s="662">
        <f>Y28/V28-1</f>
        <v>0.17415730337078639</v>
      </c>
      <c r="Z29" s="629">
        <f t="shared" ref="Z29" si="71">Z28/W28-1</f>
        <v>0.29578754578754585</v>
      </c>
      <c r="AA29" s="629">
        <f t="shared" ref="AA29" si="72">AA28/X28-1</f>
        <v>0.23612261806130896</v>
      </c>
      <c r="AB29" s="662">
        <f t="shared" ref="AB29" si="73">AB28/Y28-1</f>
        <v>0.26446280991735538</v>
      </c>
      <c r="AC29" s="629">
        <v>0.22</v>
      </c>
      <c r="AD29" s="629">
        <f t="shared" ref="AD29" si="74">AD28/AA28-1</f>
        <v>0.17627345844504028</v>
      </c>
      <c r="AE29" s="662">
        <f t="shared" ref="AE29" si="75">AE28/AB28-1</f>
        <v>0.1668386652906777</v>
      </c>
      <c r="AF29" s="629">
        <f t="shared" ref="AF29" si="76">AF28/AC28-1</f>
        <v>0.10629199755650576</v>
      </c>
      <c r="AG29" s="629">
        <f t="shared" ref="AG29" si="77">AG28/AD28-1</f>
        <v>6.2678062678062751E-2</v>
      </c>
      <c r="AH29" s="662">
        <f t="shared" ref="AH29:AR29" si="78">AH28/AE28-1</f>
        <v>8.3726415094339757E-2</v>
      </c>
      <c r="AI29" s="629">
        <f t="shared" si="78"/>
        <v>3.0922142462727731E-2</v>
      </c>
      <c r="AJ29" s="629">
        <f t="shared" si="78"/>
        <v>-0.1764075067024129</v>
      </c>
      <c r="AK29" s="662">
        <f t="shared" si="78"/>
        <v>-7.4265505984766111E-2</v>
      </c>
      <c r="AL29" s="122">
        <f t="shared" si="78"/>
        <v>-0.22067487948580611</v>
      </c>
      <c r="AM29" s="629">
        <f t="shared" si="78"/>
        <v>8.6588541666666741E-2</v>
      </c>
      <c r="AN29" s="662">
        <f t="shared" si="78"/>
        <v>-8.228034087569791E-2</v>
      </c>
      <c r="AO29" s="122">
        <f t="shared" si="78"/>
        <v>0.36219931271477646</v>
      </c>
      <c r="AP29" s="122">
        <f t="shared" si="78"/>
        <v>0.30796884361893362</v>
      </c>
      <c r="AQ29" s="662">
        <v>0.33</v>
      </c>
      <c r="AR29" s="122">
        <f t="shared" si="78"/>
        <v>0.18508380558117721</v>
      </c>
      <c r="AS29" s="122">
        <f t="shared" ref="AS29" si="79">AS28/AP28-1</f>
        <v>2.2337454554302028E-2</v>
      </c>
      <c r="AT29" s="662">
        <f t="shared" ref="AT29" si="80">AT28/AQ28-1</f>
        <v>9.9783617275854608E-2</v>
      </c>
      <c r="AU29" s="122">
        <v>-0.13</v>
      </c>
      <c r="AV29" s="122">
        <f>AV28/AS28-1</f>
        <v>-0.14094596854689145</v>
      </c>
      <c r="AW29" s="662">
        <f>AW28/AT28-1</f>
        <v>-0.13463287019935932</v>
      </c>
      <c r="AX29" s="122">
        <f>AX28/AU28-1</f>
        <v>-0.1152447104380685</v>
      </c>
      <c r="AY29" s="122">
        <f>AY28/AV28-1</f>
        <v>-9.2345738087441953E-2</v>
      </c>
      <c r="AZ29" s="662">
        <f>AZ28/AW28-1</f>
        <v>-0.10410114816406679</v>
      </c>
    </row>
    <row r="30" spans="2:52" s="417" customFormat="1" ht="14.5" x14ac:dyDescent="0.3">
      <c r="B30" s="418" t="s">
        <v>110</v>
      </c>
      <c r="C30" s="413"/>
      <c r="D30" s="413"/>
      <c r="E30" s="413"/>
      <c r="F30" s="413"/>
      <c r="G30" s="413"/>
      <c r="H30" s="413"/>
      <c r="I30" s="413"/>
      <c r="J30" s="413"/>
      <c r="K30" s="413"/>
      <c r="L30" s="413"/>
      <c r="M30" s="413"/>
      <c r="N30" s="413"/>
      <c r="O30" s="413"/>
      <c r="P30" s="413"/>
      <c r="Q30" s="413"/>
      <c r="R30" s="413"/>
      <c r="S30" s="413"/>
      <c r="T30" s="421"/>
      <c r="U30" s="421"/>
      <c r="V30" s="422"/>
      <c r="W30" s="415">
        <v>0.15</v>
      </c>
      <c r="X30" s="415">
        <v>0.14000000000000001</v>
      </c>
      <c r="Y30" s="657">
        <v>0.14000000000000001</v>
      </c>
      <c r="Z30" s="415">
        <v>0.08</v>
      </c>
      <c r="AA30" s="415">
        <v>0.09</v>
      </c>
      <c r="AB30" s="657">
        <v>0.09</v>
      </c>
      <c r="AC30" s="415">
        <v>0.15</v>
      </c>
      <c r="AD30" s="414">
        <v>0.2</v>
      </c>
      <c r="AE30" s="657">
        <v>0.17</v>
      </c>
      <c r="AF30" s="415">
        <v>0.11</v>
      </c>
      <c r="AG30" s="414">
        <f>(2*AH30)-AF30</f>
        <v>0.05</v>
      </c>
      <c r="AH30" s="657">
        <v>0.08</v>
      </c>
      <c r="AI30" s="415">
        <v>0.02</v>
      </c>
      <c r="AJ30" s="415">
        <v>-0.18</v>
      </c>
      <c r="AK30" s="657">
        <v>-0.08</v>
      </c>
      <c r="AL30" s="415">
        <v>-0.21</v>
      </c>
      <c r="AM30" s="415">
        <v>0.14000000000000001</v>
      </c>
      <c r="AN30" s="657">
        <v>-0.06</v>
      </c>
      <c r="AO30" s="415">
        <v>0.43</v>
      </c>
      <c r="AP30" s="415">
        <v>0.31</v>
      </c>
      <c r="AQ30" s="657">
        <v>0.36</v>
      </c>
      <c r="AR30" s="415">
        <v>0.12</v>
      </c>
      <c r="AS30" s="415">
        <v>-0.01</v>
      </c>
      <c r="AT30" s="657">
        <v>0.05</v>
      </c>
      <c r="AU30" s="415">
        <v>-0.11</v>
      </c>
      <c r="AV30" s="415">
        <f>[1]Interims!BO301</f>
        <v>-0.12</v>
      </c>
      <c r="AW30" s="657">
        <f>[1]Interims!BP301</f>
        <v>-0.11319910514541393</v>
      </c>
      <c r="AX30" s="415">
        <f>[1]Interims!BQ301</f>
        <v>-8.6737266767523941E-2</v>
      </c>
      <c r="AY30" s="415">
        <f>[1]Interims!BR301</f>
        <v>-0.08</v>
      </c>
      <c r="AZ30" s="657">
        <f>[1]Interims!BS301</f>
        <v>-8.1479565442317506E-2</v>
      </c>
    </row>
    <row r="31" spans="2:52" s="46" customFormat="1" ht="14.5" x14ac:dyDescent="0.3">
      <c r="B31" s="42" t="s">
        <v>111</v>
      </c>
      <c r="C31" s="43"/>
      <c r="D31" s="43"/>
      <c r="E31" s="43"/>
      <c r="F31" s="43"/>
      <c r="G31" s="43"/>
      <c r="H31" s="43"/>
      <c r="I31" s="43"/>
      <c r="J31" s="43"/>
      <c r="K31" s="43"/>
      <c r="L31" s="43"/>
      <c r="M31" s="43"/>
      <c r="N31" s="43"/>
      <c r="O31" s="43"/>
      <c r="P31" s="43"/>
      <c r="Q31" s="43"/>
      <c r="R31" s="43"/>
      <c r="S31" s="43"/>
      <c r="T31" s="340"/>
      <c r="U31" s="340"/>
      <c r="V31" s="341"/>
      <c r="W31" s="232">
        <f t="shared" ref="W31" si="81">(1+W29)/(1+W30)-1</f>
        <v>1.2329656067489259E-2</v>
      </c>
      <c r="X31" s="232">
        <f t="shared" ref="X31" si="82">(1+X29)/(1+X30)-1</f>
        <v>3.8011695906432053E-2</v>
      </c>
      <c r="Y31" s="664">
        <f t="shared" ref="Y31" si="83">(1+Y29)/(1+Y30)-1</f>
        <v>2.9962546816479252E-2</v>
      </c>
      <c r="Z31" s="232">
        <f t="shared" ref="Z31" si="84">(1+Z29)/(1+Z30)-1</f>
        <v>0.19980328313661655</v>
      </c>
      <c r="AA31" s="232">
        <f t="shared" ref="AA31" si="85">(1+AA29)/(1+AA30)-1</f>
        <v>0.13405744776266859</v>
      </c>
      <c r="AB31" s="664">
        <f t="shared" ref="AB31" si="86">(1+AB29)/(1+AB30)-1</f>
        <v>0.16005762377739008</v>
      </c>
      <c r="AC31" s="232">
        <f t="shared" ref="AC31" si="87">(1+AC29)/(1+AC30)-1</f>
        <v>6.0869565217391397E-2</v>
      </c>
      <c r="AD31" s="232">
        <f t="shared" ref="AD31" si="88">(1+AD29)/(1+AD30)-1</f>
        <v>-1.9772117962466362E-2</v>
      </c>
      <c r="AE31" s="664">
        <f t="shared" ref="AE31" si="89">(1+AE29)/(1+AE30)-1</f>
        <v>-2.7019954780531652E-3</v>
      </c>
      <c r="AF31" s="232">
        <f t="shared" ref="AF31" si="90">(1+AF29)/(1+AF30)-1</f>
        <v>-3.3405427418867761E-3</v>
      </c>
      <c r="AG31" s="232">
        <f t="shared" ref="AG31" si="91">(1+AG29)/(1+AG30)-1</f>
        <v>1.2074345407678821E-2</v>
      </c>
      <c r="AH31" s="664">
        <f t="shared" ref="AH31:AT31" si="92">(1+AH29)/(1+AH30)-1</f>
        <v>3.4503843466107131E-3</v>
      </c>
      <c r="AI31" s="232">
        <f t="shared" si="92"/>
        <v>1.0707982806595906E-2</v>
      </c>
      <c r="AJ31" s="232">
        <f t="shared" si="92"/>
        <v>4.3810893873013068E-3</v>
      </c>
      <c r="AK31" s="664">
        <f t="shared" si="92"/>
        <v>6.2331456687323428E-3</v>
      </c>
      <c r="AL31" s="232">
        <f t="shared" si="92"/>
        <v>-1.3512505678235587E-2</v>
      </c>
      <c r="AM31" s="232">
        <f t="shared" si="92"/>
        <v>-4.6852156432748537E-2</v>
      </c>
      <c r="AN31" s="664">
        <f t="shared" si="92"/>
        <v>-2.3702490293295631E-2</v>
      </c>
      <c r="AO31" s="45">
        <f t="shared" si="92"/>
        <v>-4.7413068031624817E-2</v>
      </c>
      <c r="AP31" s="45">
        <f t="shared" si="92"/>
        <v>-1.5505010542491426E-3</v>
      </c>
      <c r="AQ31" s="664">
        <f t="shared" si="92"/>
        <v>-2.2058823529411575E-2</v>
      </c>
      <c r="AR31" s="45">
        <f t="shared" si="92"/>
        <v>5.8110540697479562E-2</v>
      </c>
      <c r="AS31" s="45">
        <f t="shared" si="92"/>
        <v>3.2664095509395974E-2</v>
      </c>
      <c r="AT31" s="664">
        <f t="shared" si="92"/>
        <v>4.741296883414714E-2</v>
      </c>
      <c r="AU31" s="45">
        <v>-0.02</v>
      </c>
      <c r="AV31" s="45">
        <f>AV29-AV30</f>
        <v>-2.0945968546891458E-2</v>
      </c>
      <c r="AW31" s="664">
        <f>AW29-AW30</f>
        <v>-2.1433765053945397E-2</v>
      </c>
      <c r="AX31" s="45">
        <f>AX29-AX30</f>
        <v>-2.8507443670544558E-2</v>
      </c>
      <c r="AY31" s="45">
        <f>AY29-AY30</f>
        <v>-1.2345738087441951E-2</v>
      </c>
      <c r="AZ31" s="664">
        <f>AZ29-AZ30</f>
        <v>-2.2621582721749287E-2</v>
      </c>
    </row>
    <row r="32" spans="2:52" s="30" customFormat="1" ht="14.5" thickBot="1" x14ac:dyDescent="0.35">
      <c r="B32" s="15" t="s">
        <v>115</v>
      </c>
      <c r="C32" s="28"/>
      <c r="D32" s="28"/>
      <c r="E32" s="28"/>
      <c r="F32" s="28"/>
      <c r="G32" s="28"/>
      <c r="H32" s="28"/>
      <c r="I32" s="28"/>
      <c r="J32" s="28"/>
      <c r="K32" s="28"/>
      <c r="L32" s="28"/>
      <c r="M32" s="28"/>
      <c r="N32" s="28"/>
      <c r="O32" s="28"/>
      <c r="P32" s="28"/>
      <c r="Q32" s="28"/>
      <c r="R32" s="28"/>
      <c r="S32" s="28"/>
      <c r="T32" s="29">
        <v>383.9</v>
      </c>
      <c r="U32" s="29">
        <v>380.3</v>
      </c>
      <c r="V32" s="654">
        <v>764.2</v>
      </c>
      <c r="W32" s="29">
        <v>396.9</v>
      </c>
      <c r="X32" s="29">
        <v>413.4</v>
      </c>
      <c r="Y32" s="654">
        <v>810.3</v>
      </c>
      <c r="Z32" s="29">
        <v>465.5</v>
      </c>
      <c r="AA32" s="29">
        <v>489.1</v>
      </c>
      <c r="AB32" s="654">
        <v>954.60000000000014</v>
      </c>
      <c r="AC32" s="29">
        <v>525.79999999999995</v>
      </c>
      <c r="AD32" s="29">
        <v>547</v>
      </c>
      <c r="AE32" s="654">
        <v>1072.8</v>
      </c>
      <c r="AF32" s="29">
        <v>568</v>
      </c>
      <c r="AG32" s="29">
        <v>561.70000000000005</v>
      </c>
      <c r="AH32" s="654">
        <v>1129.7</v>
      </c>
      <c r="AI32" s="29">
        <v>553.1</v>
      </c>
      <c r="AJ32" s="29">
        <v>443.1</v>
      </c>
      <c r="AK32" s="654">
        <v>996.2</v>
      </c>
      <c r="AL32" s="29">
        <v>422.8</v>
      </c>
      <c r="AM32" s="29">
        <v>495.3</v>
      </c>
      <c r="AN32" s="654">
        <v>918.1</v>
      </c>
      <c r="AO32" s="29">
        <v>565.29999999999995</v>
      </c>
      <c r="AP32" s="29">
        <v>624.1</v>
      </c>
      <c r="AQ32" s="654">
        <v>1189.4000000000001</v>
      </c>
      <c r="AR32" s="29">
        <v>651.9</v>
      </c>
      <c r="AS32" s="29">
        <v>642.66841591240302</v>
      </c>
      <c r="AT32" s="654">
        <v>1294.568415912403</v>
      </c>
      <c r="AU32" s="29">
        <v>583.29999999999995</v>
      </c>
      <c r="AV32" s="29">
        <f>[1]Interims!BO33</f>
        <v>530.28236833120047</v>
      </c>
      <c r="AW32" s="654">
        <f>[1]Interims!BP33</f>
        <v>1113.6078977339955</v>
      </c>
      <c r="AX32" s="29">
        <f>[1]Interims!BQ33</f>
        <v>495.96229746592201</v>
      </c>
      <c r="AY32" s="29">
        <f>[1]Interims!BR33</f>
        <v>476.30255006934226</v>
      </c>
      <c r="AZ32" s="654">
        <f>[1]Interims!BS33</f>
        <v>972.3648475352644</v>
      </c>
    </row>
    <row r="33" spans="2:52" s="35" customFormat="1" ht="13.5" thickTop="1" x14ac:dyDescent="0.3">
      <c r="B33" s="197" t="s">
        <v>109</v>
      </c>
      <c r="C33" s="121"/>
      <c r="D33" s="121"/>
      <c r="E33" s="121"/>
      <c r="F33" s="121"/>
      <c r="G33" s="121"/>
      <c r="H33" s="121"/>
      <c r="I33" s="121"/>
      <c r="J33" s="121"/>
      <c r="K33" s="121"/>
      <c r="L33" s="121"/>
      <c r="M33" s="121"/>
      <c r="N33" s="121"/>
      <c r="O33" s="121"/>
      <c r="P33" s="121"/>
      <c r="Q33" s="121"/>
      <c r="R33" s="121"/>
      <c r="S33" s="121"/>
      <c r="T33" s="122">
        <v>5.6000000000000001E-2</v>
      </c>
      <c r="U33" s="122">
        <v>5.1999999999999998E-2</v>
      </c>
      <c r="V33" s="661">
        <v>0.05</v>
      </c>
      <c r="W33" s="122">
        <f t="shared" ref="W33:AC33" si="93">W32/T32-1</f>
        <v>3.3862985152383507E-2</v>
      </c>
      <c r="X33" s="122">
        <f t="shared" si="93"/>
        <v>8.7036550092032483E-2</v>
      </c>
      <c r="Y33" s="661">
        <f t="shared" si="93"/>
        <v>6.0324522376341116E-2</v>
      </c>
      <c r="Z33" s="122">
        <f t="shared" si="93"/>
        <v>0.17283950617283961</v>
      </c>
      <c r="AA33" s="122">
        <f t="shared" si="93"/>
        <v>0.18311562651185298</v>
      </c>
      <c r="AB33" s="661">
        <f t="shared" si="93"/>
        <v>0.17808219178082219</v>
      </c>
      <c r="AC33" s="122">
        <f t="shared" si="93"/>
        <v>0.12953813104189038</v>
      </c>
      <c r="AD33" s="122">
        <f>AD32/AA32-1</f>
        <v>0.11838069924350836</v>
      </c>
      <c r="AE33" s="661">
        <f>AE32/AB32-1</f>
        <v>0.12382149591451896</v>
      </c>
      <c r="AF33" s="122">
        <f t="shared" ref="AF33" si="94">AF32/AC32-1</f>
        <v>8.0258653480410835E-2</v>
      </c>
      <c r="AG33" s="122">
        <f>AG32/AD32-1</f>
        <v>2.6873857404021928E-2</v>
      </c>
      <c r="AH33" s="661">
        <f t="shared" ref="AH33:AR33" si="95">AH32/AE32-1</f>
        <v>5.303877703206572E-2</v>
      </c>
      <c r="AI33" s="122">
        <f t="shared" si="95"/>
        <v>-2.6232394366197176E-2</v>
      </c>
      <c r="AJ33" s="122">
        <f t="shared" si="95"/>
        <v>-0.21114473918461818</v>
      </c>
      <c r="AK33" s="661">
        <f t="shared" si="95"/>
        <v>-0.11817296627423213</v>
      </c>
      <c r="AL33" s="122">
        <v>-0.24</v>
      </c>
      <c r="AM33" s="122">
        <f t="shared" si="95"/>
        <v>0.11780636425186186</v>
      </c>
      <c r="AN33" s="661">
        <v>-0.08</v>
      </c>
      <c r="AO33" s="122">
        <f t="shared" si="95"/>
        <v>0.33703878902554374</v>
      </c>
      <c r="AP33" s="122">
        <f t="shared" si="95"/>
        <v>0.26004441752473251</v>
      </c>
      <c r="AQ33" s="661">
        <v>0.3</v>
      </c>
      <c r="AR33" s="122">
        <f t="shared" si="95"/>
        <v>0.15319299486998061</v>
      </c>
      <c r="AS33" s="122">
        <f t="shared" ref="AS33" si="96">AS32/AP32-1</f>
        <v>2.9752308784494419E-2</v>
      </c>
      <c r="AT33" s="661">
        <f t="shared" ref="AT33" si="97">AT32/AQ32-1</f>
        <v>8.8421402314110331E-2</v>
      </c>
      <c r="AU33" s="122">
        <v>-0.11</v>
      </c>
      <c r="AV33" s="122">
        <f>AV32/AS32-1</f>
        <v>-0.1748740793829846</v>
      </c>
      <c r="AW33" s="661">
        <f>AW32/AT32-1</f>
        <v>-0.13978443777408844</v>
      </c>
      <c r="AX33" s="122">
        <f>AX32/AU32-1</f>
        <v>-0.14973033179166462</v>
      </c>
      <c r="AY33" s="122">
        <f>AY32/AV32-1</f>
        <v>-0.1017944806117782</v>
      </c>
      <c r="AZ33" s="661">
        <f>AZ32/AW32-1</f>
        <v>-0.12683373608083859</v>
      </c>
    </row>
    <row r="34" spans="2:52" s="417" customFormat="1" ht="14.5" x14ac:dyDescent="0.3">
      <c r="B34" s="418" t="s">
        <v>110</v>
      </c>
      <c r="C34" s="413"/>
      <c r="D34" s="413"/>
      <c r="E34" s="413"/>
      <c r="F34" s="413"/>
      <c r="G34" s="413"/>
      <c r="H34" s="413"/>
      <c r="I34" s="413"/>
      <c r="J34" s="413"/>
      <c r="K34" s="413"/>
      <c r="L34" s="413"/>
      <c r="M34" s="413"/>
      <c r="N34" s="413"/>
      <c r="O34" s="413"/>
      <c r="P34" s="413"/>
      <c r="Q34" s="413"/>
      <c r="R34" s="413"/>
      <c r="S34" s="413"/>
      <c r="T34" s="421">
        <v>0.1</v>
      </c>
      <c r="U34" s="421">
        <v>0.09</v>
      </c>
      <c r="V34" s="422">
        <v>0.09</v>
      </c>
      <c r="W34" s="415">
        <v>0.08</v>
      </c>
      <c r="X34" s="415">
        <v>0.06</v>
      </c>
      <c r="Y34" s="657">
        <v>7.0000000000000007E-2</v>
      </c>
      <c r="Z34" s="415">
        <v>0.03</v>
      </c>
      <c r="AA34" s="415">
        <v>0.08</v>
      </c>
      <c r="AB34" s="657">
        <v>0.06</v>
      </c>
      <c r="AC34" s="415">
        <v>0.12</v>
      </c>
      <c r="AD34" s="414">
        <v>0.13</v>
      </c>
      <c r="AE34" s="657">
        <v>0.12</v>
      </c>
      <c r="AF34" s="415">
        <v>0.09</v>
      </c>
      <c r="AG34" s="414">
        <v>0.03</v>
      </c>
      <c r="AH34" s="657">
        <v>0.06</v>
      </c>
      <c r="AI34" s="415">
        <v>-0.02</v>
      </c>
      <c r="AJ34" s="415">
        <v>-0.21</v>
      </c>
      <c r="AK34" s="657">
        <v>-0.11</v>
      </c>
      <c r="AL34" s="415">
        <v>-0.24</v>
      </c>
      <c r="AM34" s="415">
        <v>0.13</v>
      </c>
      <c r="AN34" s="657">
        <v>-0.08</v>
      </c>
      <c r="AO34" s="415">
        <v>0.39</v>
      </c>
      <c r="AP34" s="415">
        <v>0.27</v>
      </c>
      <c r="AQ34" s="657">
        <v>0.32</v>
      </c>
      <c r="AR34" s="415">
        <v>0.12</v>
      </c>
      <c r="AS34" s="415">
        <v>0.01</v>
      </c>
      <c r="AT34" s="657">
        <v>0.06</v>
      </c>
      <c r="AU34" s="415">
        <v>-0.09</v>
      </c>
      <c r="AV34" s="415">
        <f>[1]Interims!BO305</f>
        <v>-0.15</v>
      </c>
      <c r="AW34" s="657">
        <f>[1]Interims!BP305</f>
        <v>-0.12030966111067229</v>
      </c>
      <c r="AX34" s="415">
        <f>[1]Interims!BQ305</f>
        <v>-0.12982456140350873</v>
      </c>
      <c r="AY34" s="415">
        <f>[1]Interims!BR305</f>
        <v>-0.08</v>
      </c>
      <c r="AZ34" s="657">
        <f>[1]Interims!BS305</f>
        <v>-0.10829894543787252</v>
      </c>
    </row>
    <row r="35" spans="2:52" s="46" customFormat="1" ht="13" x14ac:dyDescent="0.3">
      <c r="B35" s="42" t="s">
        <v>111</v>
      </c>
      <c r="C35" s="43"/>
      <c r="D35" s="43"/>
      <c r="E35" s="43"/>
      <c r="F35" s="43"/>
      <c r="G35" s="43"/>
      <c r="H35" s="43"/>
      <c r="I35" s="43"/>
      <c r="J35" s="43"/>
      <c r="K35" s="43"/>
      <c r="L35" s="43"/>
      <c r="M35" s="43"/>
      <c r="N35" s="43"/>
      <c r="O35" s="43"/>
      <c r="P35" s="43"/>
      <c r="Q35" s="43"/>
      <c r="R35" s="43"/>
      <c r="S35" s="43"/>
      <c r="T35" s="44">
        <f t="shared" ref="T35" si="98">(1+T33)/(1+T34)-1</f>
        <v>-4.0000000000000036E-2</v>
      </c>
      <c r="U35" s="44">
        <f t="shared" ref="U35" si="99">(1+U33)/(1+U34)-1</f>
        <v>-3.4862385321100975E-2</v>
      </c>
      <c r="V35" s="664">
        <f t="shared" ref="V35" si="100">(1+V33)/(1+V34)-1</f>
        <v>-3.669724770642202E-2</v>
      </c>
      <c r="W35" s="232">
        <f t="shared" ref="W35" si="101">(1+W33)/(1+W34)-1</f>
        <v>-4.2719458192237547E-2</v>
      </c>
      <c r="X35" s="232">
        <f t="shared" ref="X35" si="102">(1+X33)/(1+X34)-1</f>
        <v>2.5506179332106083E-2</v>
      </c>
      <c r="Y35" s="664">
        <f t="shared" ref="Y35" si="103">(1+Y33)/(1+Y34)-1</f>
        <v>-9.0425024520176533E-3</v>
      </c>
      <c r="Z35" s="232">
        <f t="shared" ref="Z35" si="104">(1+Z33)/(1+Z34)-1</f>
        <v>0.1386791322066403</v>
      </c>
      <c r="AA35" s="232">
        <f t="shared" ref="AA35" si="105">(1+AA33)/(1+AA34)-1</f>
        <v>9.5477431955419245E-2</v>
      </c>
      <c r="AB35" s="664">
        <f t="shared" ref="AB35" si="106">(1+AB33)/(1+AB34)-1</f>
        <v>0.11139829413285107</v>
      </c>
      <c r="AC35" s="232">
        <f t="shared" ref="AC35" si="107">(1+AC33)/(1+AC34)-1</f>
        <v>8.5161884302591417E-3</v>
      </c>
      <c r="AD35" s="232">
        <f t="shared" ref="AD35" si="108">(1+AD33)/(1+AD34)-1</f>
        <v>-1.0282567041142943E-2</v>
      </c>
      <c r="AE35" s="664">
        <f t="shared" ref="AE35" si="109">(1+AE33)/(1+AE34)-1</f>
        <v>3.412049923677607E-3</v>
      </c>
      <c r="AF35" s="232">
        <f t="shared" ref="AF35" si="110">(1+AF33)/(1+AF34)-1</f>
        <v>-8.9370151555864252E-3</v>
      </c>
      <c r="AG35" s="232">
        <f t="shared" ref="AG35" si="111">(1+AG33)/(1+AG34)-1</f>
        <v>-3.0350898990079145E-3</v>
      </c>
      <c r="AH35" s="664">
        <f t="shared" ref="AH35:AT35" si="112">(1+AH33)/(1+AH34)-1</f>
        <v>-6.5671914791833874E-3</v>
      </c>
      <c r="AI35" s="232">
        <f t="shared" si="112"/>
        <v>-6.3595860879562816E-3</v>
      </c>
      <c r="AJ35" s="232">
        <f t="shared" si="112"/>
        <v>-1.4490369425547156E-3</v>
      </c>
      <c r="AK35" s="664">
        <f t="shared" si="112"/>
        <v>-9.1831081732944853E-3</v>
      </c>
      <c r="AL35" s="45">
        <v>0</v>
      </c>
      <c r="AM35" s="232">
        <f t="shared" si="112"/>
        <v>-1.0790828095697425E-2</v>
      </c>
      <c r="AN35" s="664">
        <f t="shared" ref="AN35" si="113">(1+AN33)/(1+AN34)-1</f>
        <v>0</v>
      </c>
      <c r="AO35" s="45">
        <f t="shared" si="112"/>
        <v>-3.8101590629105342E-2</v>
      </c>
      <c r="AP35" s="45">
        <f t="shared" si="112"/>
        <v>-7.8390413191082864E-3</v>
      </c>
      <c r="AQ35" s="664">
        <f t="shared" si="112"/>
        <v>-1.5151515151515138E-2</v>
      </c>
      <c r="AR35" s="45">
        <f t="shared" si="112"/>
        <v>2.9636602562482572E-2</v>
      </c>
      <c r="AS35" s="45">
        <f t="shared" si="112"/>
        <v>1.9556741370786446E-2</v>
      </c>
      <c r="AT35" s="664">
        <f t="shared" si="112"/>
        <v>2.681264369255687E-2</v>
      </c>
      <c r="AU35" s="45">
        <v>-0.02</v>
      </c>
      <c r="AV35" s="45">
        <f>AV33-AV34</f>
        <v>-2.487407938298461E-2</v>
      </c>
      <c r="AW35" s="664">
        <f>AW33-AW34</f>
        <v>-1.9474776663416155E-2</v>
      </c>
      <c r="AX35" s="45">
        <f>AX33-AX34</f>
        <v>-1.9905770388155886E-2</v>
      </c>
      <c r="AY35" s="45">
        <f>AY33-AY34</f>
        <v>-2.1794480611778203E-2</v>
      </c>
      <c r="AZ35" s="664">
        <f>AZ33-AZ34</f>
        <v>-1.8534790642966065E-2</v>
      </c>
    </row>
    <row r="36" spans="2:52" s="17" customFormat="1" x14ac:dyDescent="0.3">
      <c r="T36" s="294"/>
      <c r="U36" s="294"/>
      <c r="V36" s="483"/>
      <c r="W36" s="294"/>
      <c r="X36" s="294"/>
      <c r="Y36" s="295"/>
      <c r="Z36" s="294"/>
      <c r="AA36" s="294"/>
      <c r="AB36" s="295"/>
      <c r="AC36" s="294"/>
      <c r="AD36" s="294"/>
      <c r="AE36" s="295"/>
      <c r="AF36" s="294"/>
      <c r="AG36" s="294"/>
      <c r="AH36" s="295"/>
      <c r="AI36" s="312"/>
      <c r="AJ36" s="36"/>
      <c r="AK36" s="295"/>
      <c r="AL36" s="36"/>
      <c r="AM36" s="36"/>
      <c r="AN36" s="295"/>
      <c r="AO36" s="36"/>
      <c r="AP36" s="36"/>
      <c r="AQ36" s="295"/>
      <c r="AR36" s="36"/>
      <c r="AS36" s="36"/>
      <c r="AT36" s="295"/>
      <c r="AU36" s="36"/>
      <c r="AV36" s="36"/>
      <c r="AW36" s="295"/>
      <c r="AX36" s="36"/>
      <c r="AY36" s="36"/>
      <c r="AZ36" s="295"/>
    </row>
    <row r="37" spans="2:52" s="407" customFormat="1" x14ac:dyDescent="0.3">
      <c r="B37" s="404" t="s">
        <v>116</v>
      </c>
      <c r="C37" s="405"/>
      <c r="D37" s="405"/>
      <c r="E37" s="405"/>
      <c r="F37" s="405"/>
      <c r="G37" s="405"/>
      <c r="H37" s="405"/>
      <c r="I37" s="405"/>
      <c r="J37" s="405"/>
      <c r="K37" s="405"/>
      <c r="L37" s="405"/>
      <c r="M37" s="405"/>
      <c r="N37" s="405"/>
      <c r="O37" s="405"/>
      <c r="P37" s="405"/>
      <c r="Q37" s="405"/>
      <c r="R37" s="405"/>
      <c r="S37" s="405"/>
      <c r="T37" s="406"/>
      <c r="U37" s="406"/>
      <c r="V37" s="406"/>
      <c r="W37" s="406"/>
      <c r="X37" s="406"/>
      <c r="Y37" s="406"/>
      <c r="Z37" s="406"/>
      <c r="AA37" s="406"/>
      <c r="AB37" s="406"/>
      <c r="AC37" s="406"/>
      <c r="AD37" s="406"/>
      <c r="AE37" s="406"/>
      <c r="AF37" s="406"/>
      <c r="AG37" s="406"/>
      <c r="AH37" s="406"/>
      <c r="AJ37" s="405"/>
      <c r="AK37" s="406"/>
      <c r="AL37" s="405"/>
      <c r="AM37" s="405"/>
      <c r="AN37" s="406"/>
      <c r="AO37" s="405"/>
      <c r="AP37" s="405"/>
      <c r="AQ37" s="406"/>
      <c r="AR37" s="405"/>
      <c r="AS37" s="405"/>
      <c r="AT37" s="406"/>
      <c r="AU37" s="405"/>
      <c r="AV37" s="405"/>
      <c r="AW37" s="406"/>
      <c r="AX37" s="405"/>
      <c r="AY37" s="405"/>
      <c r="AZ37" s="406"/>
    </row>
    <row r="38" spans="2:52" s="21" customFormat="1" x14ac:dyDescent="0.3">
      <c r="B38" s="14" t="s">
        <v>117</v>
      </c>
      <c r="T38" s="22">
        <v>222.9</v>
      </c>
      <c r="U38" s="22">
        <f>V38-T38</f>
        <v>220.20000000000002</v>
      </c>
      <c r="V38" s="656">
        <v>443.1</v>
      </c>
      <c r="W38" s="22">
        <v>230.1</v>
      </c>
      <c r="X38" s="22">
        <f>Y38-W38</f>
        <v>239.79999999999998</v>
      </c>
      <c r="Y38" s="656">
        <v>469.9</v>
      </c>
      <c r="Z38" s="22">
        <v>273.5</v>
      </c>
      <c r="AA38" s="22">
        <f>AB38-Z38</f>
        <v>287.20000000000005</v>
      </c>
      <c r="AB38" s="656">
        <v>560.70000000000005</v>
      </c>
      <c r="AC38" s="22">
        <v>303.60000000000002</v>
      </c>
      <c r="AD38" s="22">
        <f>AE38-AC38</f>
        <v>315.60000000000002</v>
      </c>
      <c r="AE38" s="656">
        <v>619.20000000000005</v>
      </c>
      <c r="AF38" s="22">
        <v>327.3</v>
      </c>
      <c r="AG38" s="22">
        <v>322</v>
      </c>
      <c r="AH38" s="656">
        <v>649.29999999999995</v>
      </c>
      <c r="AI38" s="22">
        <v>319.7</v>
      </c>
      <c r="AJ38" s="22">
        <v>269.39999999999998</v>
      </c>
      <c r="AK38" s="656">
        <v>589.1</v>
      </c>
      <c r="AL38" s="22">
        <v>261.5</v>
      </c>
      <c r="AM38" s="22">
        <v>294.7</v>
      </c>
      <c r="AN38" s="656">
        <v>556.20000000000005</v>
      </c>
      <c r="AO38" s="22">
        <v>314.10000000000002</v>
      </c>
      <c r="AP38" s="22">
        <v>345.1</v>
      </c>
      <c r="AQ38" s="656">
        <v>659.2</v>
      </c>
      <c r="AR38" s="22">
        <v>359.5</v>
      </c>
      <c r="AS38" s="22">
        <v>376.29999999999995</v>
      </c>
      <c r="AT38" s="656">
        <v>735.8</v>
      </c>
      <c r="AU38" s="22">
        <v>341.6</v>
      </c>
      <c r="AV38" s="22">
        <f>[1]Interims!BO38</f>
        <v>320.49999999999994</v>
      </c>
      <c r="AW38" s="656">
        <f>[1]Interims!BP38</f>
        <v>662.09999999999991</v>
      </c>
      <c r="AX38" s="22">
        <f>[1]Interims!BQ38</f>
        <v>305.70946989083592</v>
      </c>
      <c r="AY38" s="22">
        <f>[1]Interims!BR38</f>
        <v>298.29053010916408</v>
      </c>
      <c r="AZ38" s="656">
        <f>[1]Interims!BS38</f>
        <v>604</v>
      </c>
    </row>
    <row r="39" spans="2:52" s="35" customFormat="1" ht="13" x14ac:dyDescent="0.3">
      <c r="B39" s="197" t="s">
        <v>560</v>
      </c>
      <c r="C39" s="121"/>
      <c r="D39" s="121"/>
      <c r="E39" s="121"/>
      <c r="F39" s="121"/>
      <c r="G39" s="121"/>
      <c r="H39" s="121"/>
      <c r="I39" s="121"/>
      <c r="J39" s="121"/>
      <c r="K39" s="121"/>
      <c r="L39" s="121"/>
      <c r="M39" s="121"/>
      <c r="N39" s="121"/>
      <c r="O39" s="121"/>
      <c r="P39" s="121"/>
      <c r="Q39" s="121"/>
      <c r="R39" s="121"/>
      <c r="S39" s="121"/>
      <c r="T39" s="122">
        <v>0.03</v>
      </c>
      <c r="U39" s="122">
        <v>0.03</v>
      </c>
      <c r="V39" s="661">
        <v>0.03</v>
      </c>
      <c r="W39" s="122">
        <f t="shared" ref="W39" si="114">W38/T38-1</f>
        <v>3.2301480484522083E-2</v>
      </c>
      <c r="X39" s="122">
        <f t="shared" ref="X39" si="115">X38/U38-1</f>
        <v>8.9009990917347626E-2</v>
      </c>
      <c r="Y39" s="661">
        <f t="shared" ref="Y39" si="116">Y38/V38-1</f>
        <v>6.0482960956894427E-2</v>
      </c>
      <c r="Z39" s="122">
        <f t="shared" ref="Z39" si="117">Z38/W38-1</f>
        <v>0.18861364624076482</v>
      </c>
      <c r="AA39" s="122">
        <f t="shared" ref="AA39" si="118">AA38/X38-1</f>
        <v>0.19766472060050067</v>
      </c>
      <c r="AB39" s="661">
        <f t="shared" ref="AB39:AE39" si="119">AB38/Y38-1</f>
        <v>0.19323260268142173</v>
      </c>
      <c r="AC39" s="122">
        <f t="shared" si="119"/>
        <v>0.11005484460694714</v>
      </c>
      <c r="AD39" s="122">
        <f t="shared" si="119"/>
        <v>9.8885793871866134E-2</v>
      </c>
      <c r="AE39" s="661">
        <f t="shared" si="119"/>
        <v>0.1043338683788122</v>
      </c>
      <c r="AF39" s="122">
        <f t="shared" ref="AF39" si="120">AF38/AC38-1</f>
        <v>7.806324110671925E-2</v>
      </c>
      <c r="AG39" s="122">
        <f t="shared" ref="AG39:AP39" si="121">AG38/AD38-1</f>
        <v>2.0278833967046772E-2</v>
      </c>
      <c r="AH39" s="661">
        <f t="shared" si="121"/>
        <v>4.8611111111110938E-2</v>
      </c>
      <c r="AI39" s="122">
        <f t="shared" si="121"/>
        <v>-2.3220287198289058E-2</v>
      </c>
      <c r="AJ39" s="122">
        <f t="shared" si="121"/>
        <v>-0.16335403726708086</v>
      </c>
      <c r="AK39" s="661">
        <f t="shared" si="121"/>
        <v>-9.2715231788079389E-2</v>
      </c>
      <c r="AL39" s="122">
        <f t="shared" si="121"/>
        <v>-0.18204566781357523</v>
      </c>
      <c r="AM39" s="122">
        <f t="shared" si="121"/>
        <v>9.3912397921306567E-2</v>
      </c>
      <c r="AN39" s="661">
        <f t="shared" si="121"/>
        <v>-5.5847903581734859E-2</v>
      </c>
      <c r="AO39" s="122">
        <f t="shared" si="121"/>
        <v>0.20114722753346093</v>
      </c>
      <c r="AP39" s="122">
        <f t="shared" si="121"/>
        <v>0.17102137767220915</v>
      </c>
      <c r="AQ39" s="661">
        <v>0.19</v>
      </c>
      <c r="AR39" s="122">
        <v>0.14000000000000001</v>
      </c>
      <c r="AS39" s="122">
        <v>0.09</v>
      </c>
      <c r="AT39" s="661">
        <v>0.12</v>
      </c>
      <c r="AU39" s="122">
        <v>-0.05</v>
      </c>
      <c r="AV39" s="122">
        <f>AV38/AS38-1</f>
        <v>-0.14828594206749934</v>
      </c>
      <c r="AW39" s="661">
        <f>AW38/AT38-1</f>
        <v>-0.10016308779559668</v>
      </c>
      <c r="AX39" s="122">
        <f>AX38/AU38-1</f>
        <v>-0.10506595465211976</v>
      </c>
      <c r="AY39" s="122">
        <f>AY38/AV38-1</f>
        <v>-6.9296317912124428E-2</v>
      </c>
      <c r="AZ39" s="661">
        <f>AZ38/AW38-1</f>
        <v>-8.7751095000755064E-2</v>
      </c>
    </row>
    <row r="40" spans="2:52" s="417" customFormat="1" ht="14.5" x14ac:dyDescent="0.3">
      <c r="B40" s="418" t="s">
        <v>110</v>
      </c>
      <c r="C40" s="413"/>
      <c r="D40" s="413"/>
      <c r="E40" s="413"/>
      <c r="F40" s="413"/>
      <c r="G40" s="413"/>
      <c r="H40" s="413"/>
      <c r="I40" s="413"/>
      <c r="J40" s="413"/>
      <c r="K40" s="413"/>
      <c r="L40" s="413"/>
      <c r="M40" s="413"/>
      <c r="N40" s="413"/>
      <c r="O40" s="413"/>
      <c r="P40" s="413"/>
      <c r="Q40" s="413"/>
      <c r="R40" s="413"/>
      <c r="S40" s="413"/>
      <c r="T40" s="414">
        <v>7.0000000000000007E-2</v>
      </c>
      <c r="U40" s="421"/>
      <c r="V40" s="657">
        <v>7.0000000000000007E-2</v>
      </c>
      <c r="W40" s="415">
        <v>0.08</v>
      </c>
      <c r="X40" s="421"/>
      <c r="Y40" s="657">
        <v>7.0000000000000007E-2</v>
      </c>
      <c r="Z40" s="415">
        <v>0.04</v>
      </c>
      <c r="AA40" s="415">
        <v>0.1</v>
      </c>
      <c r="AB40" s="657">
        <v>7.0000000000000007E-2</v>
      </c>
      <c r="AC40" s="415">
        <v>0.09</v>
      </c>
      <c r="AD40" s="415">
        <v>0.11</v>
      </c>
      <c r="AE40" s="657">
        <v>0.1</v>
      </c>
      <c r="AF40" s="415">
        <v>0.09</v>
      </c>
      <c r="AG40" s="415">
        <v>0.03</v>
      </c>
      <c r="AH40" s="657">
        <v>0.06</v>
      </c>
      <c r="AI40" s="415">
        <v>-0.02</v>
      </c>
      <c r="AJ40" s="415">
        <v>-0.16</v>
      </c>
      <c r="AK40" s="657">
        <v>-0.09</v>
      </c>
      <c r="AL40" s="415">
        <v>-0.19</v>
      </c>
      <c r="AM40" s="415">
        <v>0.09</v>
      </c>
      <c r="AN40" s="657">
        <v>-0.06</v>
      </c>
      <c r="AO40" s="415">
        <v>0.25</v>
      </c>
      <c r="AP40" s="415">
        <v>0.19</v>
      </c>
      <c r="AQ40" s="657">
        <v>0.21</v>
      </c>
      <c r="AR40" s="415">
        <v>0.11</v>
      </c>
      <c r="AS40" s="415">
        <v>0.06</v>
      </c>
      <c r="AT40" s="657">
        <v>0.09</v>
      </c>
      <c r="AU40" s="415">
        <v>-0.03</v>
      </c>
      <c r="AV40" s="415">
        <f>[1]Interims!$BO$256</f>
        <v>-0.13</v>
      </c>
      <c r="AW40" s="657">
        <f>[1]Interims!$BO$256</f>
        <v>-0.13</v>
      </c>
      <c r="AX40" s="415">
        <f>[1]Interims!$BO$256</f>
        <v>-0.13</v>
      </c>
      <c r="AY40" s="415">
        <f>[1]Interims!$BO$256</f>
        <v>-0.13</v>
      </c>
      <c r="AZ40" s="657">
        <f>[1]Interims!$BO$256</f>
        <v>-0.13</v>
      </c>
    </row>
    <row r="41" spans="2:52" s="411" customFormat="1" ht="13" x14ac:dyDescent="0.3">
      <c r="B41" s="432" t="s">
        <v>111</v>
      </c>
      <c r="C41" s="409"/>
      <c r="D41" s="409"/>
      <c r="E41" s="409"/>
      <c r="F41" s="409"/>
      <c r="G41" s="409"/>
      <c r="H41" s="409"/>
      <c r="I41" s="409"/>
      <c r="J41" s="409"/>
      <c r="K41" s="409"/>
      <c r="L41" s="409"/>
      <c r="M41" s="409"/>
      <c r="N41" s="409"/>
      <c r="O41" s="409"/>
      <c r="P41" s="409"/>
      <c r="Q41" s="409"/>
      <c r="R41" s="409"/>
      <c r="S41" s="409"/>
      <c r="T41" s="410">
        <f t="shared" ref="T41" si="122">(1+T39)/(1+T40)-1</f>
        <v>-3.7383177570093462E-2</v>
      </c>
      <c r="U41" s="433"/>
      <c r="V41" s="665">
        <f t="shared" ref="V41" si="123">(1+V39)/(1+V40)-1</f>
        <v>-3.7383177570093462E-2</v>
      </c>
      <c r="W41" s="434">
        <f t="shared" ref="W41" si="124">(1+W39)/(1+W40)-1</f>
        <v>-4.4165295847664821E-2</v>
      </c>
      <c r="X41" s="433"/>
      <c r="Y41" s="665">
        <f t="shared" ref="Y41" si="125">(1+Y39)/(1+Y40)-1</f>
        <v>-8.8944290122482395E-3</v>
      </c>
      <c r="Z41" s="434">
        <f t="shared" ref="Z41" si="126">(1+Z39)/(1+Z40)-1</f>
        <v>0.1428977367699662</v>
      </c>
      <c r="AA41" s="434">
        <f t="shared" ref="AA41" si="127">(1+AA39)/(1+AA40)-1</f>
        <v>8.8786109636818766E-2</v>
      </c>
      <c r="AB41" s="665">
        <f t="shared" ref="AB41" si="128">(1+AB39)/(1+AB40)-1</f>
        <v>0.11517065671160909</v>
      </c>
      <c r="AC41" s="434">
        <f t="shared" ref="AC41" si="129">(1+AC39)/(1+AC40)-1</f>
        <v>1.8398940006373543E-2</v>
      </c>
      <c r="AD41" s="434">
        <f t="shared" ref="AD41" si="130">(1+AD39)/(1+AD40)-1</f>
        <v>-1.0012798313634219E-2</v>
      </c>
      <c r="AE41" s="665">
        <f t="shared" ref="AE41" si="131">(1+AE39)/(1+AE40)-1</f>
        <v>3.9398803443746466E-3</v>
      </c>
      <c r="AF41" s="434">
        <f t="shared" ref="AF41" si="132">(1+AF39)/(1+AF40)-1</f>
        <v>-1.0951154947964059E-2</v>
      </c>
      <c r="AG41" s="434">
        <f t="shared" ref="AG41" si="133">(1+AG39)/(1+AG40)-1</f>
        <v>-9.4380252747119364E-3</v>
      </c>
      <c r="AH41" s="665">
        <f t="shared" ref="AH41:AT41" si="134">(1+AH39)/(1+AH40)-1</f>
        <v>-1.0744234800838748E-2</v>
      </c>
      <c r="AI41" s="434">
        <f t="shared" si="134"/>
        <v>-3.2860073451929095E-3</v>
      </c>
      <c r="AJ41" s="434">
        <f t="shared" si="134"/>
        <v>-3.9929015084295694E-3</v>
      </c>
      <c r="AK41" s="665">
        <v>0</v>
      </c>
      <c r="AL41" s="434">
        <f t="shared" si="134"/>
        <v>9.8201631931169597E-3</v>
      </c>
      <c r="AM41" s="434">
        <f t="shared" si="134"/>
        <v>3.5893558911068713E-3</v>
      </c>
      <c r="AN41" s="665">
        <v>0</v>
      </c>
      <c r="AO41" s="434">
        <f t="shared" si="134"/>
        <v>-3.9082217973231304E-2</v>
      </c>
      <c r="AP41" s="434">
        <f t="shared" si="134"/>
        <v>-1.5948422124193895E-2</v>
      </c>
      <c r="AQ41" s="665">
        <f t="shared" si="134"/>
        <v>-1.6528925619834767E-2</v>
      </c>
      <c r="AR41" s="434">
        <f t="shared" si="134"/>
        <v>2.7027027027026973E-2</v>
      </c>
      <c r="AS41" s="434">
        <f t="shared" si="134"/>
        <v>2.8301886792452935E-2</v>
      </c>
      <c r="AT41" s="665">
        <f t="shared" si="134"/>
        <v>2.7522935779816571E-2</v>
      </c>
      <c r="AU41" s="434">
        <v>-0.02</v>
      </c>
      <c r="AV41" s="434">
        <f>AV39-AV40</f>
        <v>-1.8285942067499339E-2</v>
      </c>
      <c r="AW41" s="665">
        <f>AW39-AW40</f>
        <v>2.9836912204403321E-2</v>
      </c>
      <c r="AX41" s="434">
        <f>AX39-AX40</f>
        <v>2.493404534788024E-2</v>
      </c>
      <c r="AY41" s="434">
        <f>AY39-AY40</f>
        <v>6.0703682087875577E-2</v>
      </c>
      <c r="AZ41" s="665">
        <f>AZ39-AZ40</f>
        <v>4.2248904999244941E-2</v>
      </c>
    </row>
    <row r="42" spans="2:52" s="21" customFormat="1" x14ac:dyDescent="0.3">
      <c r="B42" s="14" t="s">
        <v>118</v>
      </c>
      <c r="T42" s="22">
        <v>161</v>
      </c>
      <c r="U42" s="22">
        <f t="shared" ref="U42" si="135">V42-T42</f>
        <v>160.10000000000002</v>
      </c>
      <c r="V42" s="656">
        <v>321.10000000000002</v>
      </c>
      <c r="W42" s="22">
        <v>166.8</v>
      </c>
      <c r="X42" s="22">
        <f t="shared" ref="X42" si="136">Y42-W42</f>
        <v>173.59999999999997</v>
      </c>
      <c r="Y42" s="656">
        <v>340.4</v>
      </c>
      <c r="Z42" s="22">
        <v>192</v>
      </c>
      <c r="AA42" s="22">
        <f t="shared" ref="AA42" si="137">AB42-Z42</f>
        <v>201.89999999999998</v>
      </c>
      <c r="AB42" s="656">
        <v>393.9</v>
      </c>
      <c r="AC42" s="22">
        <v>222.2</v>
      </c>
      <c r="AD42" s="22">
        <f t="shared" ref="AD42" si="138">AE42-AC42</f>
        <v>231.40000000000003</v>
      </c>
      <c r="AE42" s="656">
        <v>453.6</v>
      </c>
      <c r="AF42" s="22">
        <v>240.7</v>
      </c>
      <c r="AG42" s="22">
        <v>239.7</v>
      </c>
      <c r="AH42" s="656">
        <v>480.4</v>
      </c>
      <c r="AI42" s="22">
        <v>233.4</v>
      </c>
      <c r="AJ42" s="22">
        <v>173.7</v>
      </c>
      <c r="AK42" s="656">
        <v>407.1</v>
      </c>
      <c r="AL42" s="22">
        <v>161.30000000000001</v>
      </c>
      <c r="AM42" s="22">
        <v>200.6</v>
      </c>
      <c r="AN42" s="656">
        <v>361.9</v>
      </c>
      <c r="AO42" s="22">
        <v>251.2</v>
      </c>
      <c r="AP42" s="22">
        <v>279</v>
      </c>
      <c r="AQ42" s="656">
        <v>530.20000000000005</v>
      </c>
      <c r="AR42" s="22">
        <v>292.40363419404417</v>
      </c>
      <c r="AS42" s="22">
        <v>266.39636580595578</v>
      </c>
      <c r="AT42" s="656">
        <v>558.79999999999995</v>
      </c>
      <c r="AU42" s="22">
        <v>241.7</v>
      </c>
      <c r="AV42" s="22">
        <f>[1]Interims!BO39</f>
        <v>209.8</v>
      </c>
      <c r="AW42" s="656">
        <f>[1]Interims!BP39</f>
        <v>451.5</v>
      </c>
      <c r="AX42" s="22">
        <f>[1]Interims!BQ39</f>
        <v>190.25282757508617</v>
      </c>
      <c r="AY42" s="22">
        <f>[1]Interims!BR39</f>
        <v>178.1471724249138</v>
      </c>
      <c r="AZ42" s="656">
        <f>[1]Interims!BS39</f>
        <v>368.4</v>
      </c>
    </row>
    <row r="43" spans="2:52" s="35" customFormat="1" ht="13" x14ac:dyDescent="0.3">
      <c r="B43" s="197" t="s">
        <v>560</v>
      </c>
      <c r="C43" s="121"/>
      <c r="D43" s="121"/>
      <c r="E43" s="121"/>
      <c r="F43" s="121"/>
      <c r="G43" s="121"/>
      <c r="H43" s="121"/>
      <c r="I43" s="121"/>
      <c r="J43" s="121"/>
      <c r="K43" s="121"/>
      <c r="L43" s="121"/>
      <c r="M43" s="121"/>
      <c r="N43" s="121"/>
      <c r="O43" s="121"/>
      <c r="P43" s="121"/>
      <c r="Q43" s="121"/>
      <c r="R43" s="121"/>
      <c r="S43" s="121"/>
      <c r="T43" s="122">
        <v>0.09</v>
      </c>
      <c r="U43" s="122">
        <v>0.08</v>
      </c>
      <c r="V43" s="661">
        <v>0.09</v>
      </c>
      <c r="W43" s="122">
        <f t="shared" ref="W43:AP43" si="139">W42/T42-1</f>
        <v>3.602484472049694E-2</v>
      </c>
      <c r="X43" s="122">
        <f t="shared" si="139"/>
        <v>8.4322298563397569E-2</v>
      </c>
      <c r="Y43" s="661">
        <f t="shared" si="139"/>
        <v>6.0105886016817101E-2</v>
      </c>
      <c r="Z43" s="122">
        <f t="shared" si="139"/>
        <v>0.15107913669064743</v>
      </c>
      <c r="AA43" s="122">
        <f t="shared" si="139"/>
        <v>0.16301843317972353</v>
      </c>
      <c r="AB43" s="661">
        <f t="shared" si="139"/>
        <v>0.15716803760282017</v>
      </c>
      <c r="AC43" s="122">
        <f t="shared" si="139"/>
        <v>0.15729166666666661</v>
      </c>
      <c r="AD43" s="122">
        <f t="shared" si="139"/>
        <v>0.14611193660227872</v>
      </c>
      <c r="AE43" s="661">
        <f t="shared" si="139"/>
        <v>0.15156130997715178</v>
      </c>
      <c r="AF43" s="122">
        <f t="shared" si="139"/>
        <v>8.3258325832583191E-2</v>
      </c>
      <c r="AG43" s="122">
        <f t="shared" si="139"/>
        <v>3.5868625756265926E-2</v>
      </c>
      <c r="AH43" s="661">
        <f t="shared" si="139"/>
        <v>5.9082892416225663E-2</v>
      </c>
      <c r="AI43" s="122">
        <f t="shared" si="139"/>
        <v>-3.0328209389281158E-2</v>
      </c>
      <c r="AJ43" s="122">
        <f t="shared" si="139"/>
        <v>-0.27534418022528162</v>
      </c>
      <c r="AK43" s="661">
        <f t="shared" si="139"/>
        <v>-0.15258118234804319</v>
      </c>
      <c r="AL43" s="122">
        <f t="shared" si="139"/>
        <v>-0.30891173950299911</v>
      </c>
      <c r="AM43" s="122">
        <f t="shared" si="139"/>
        <v>0.15486470926885443</v>
      </c>
      <c r="AN43" s="661">
        <f t="shared" si="139"/>
        <v>-0.11102923114713836</v>
      </c>
      <c r="AO43" s="122">
        <f t="shared" si="139"/>
        <v>0.55734655920644749</v>
      </c>
      <c r="AP43" s="122">
        <f t="shared" si="139"/>
        <v>0.39082751744765698</v>
      </c>
      <c r="AQ43" s="661">
        <v>0.47</v>
      </c>
      <c r="AR43" s="122">
        <v>0.16</v>
      </c>
      <c r="AS43" s="122">
        <v>-0.05</v>
      </c>
      <c r="AT43" s="661">
        <v>0.05</v>
      </c>
      <c r="AU43" s="122">
        <v>-0.17</v>
      </c>
      <c r="AV43" s="122">
        <f>AV42/AS42-1</f>
        <v>-0.21245171883155789</v>
      </c>
      <c r="AW43" s="661">
        <f>AW42/AT42-1</f>
        <v>-0.19201861130994979</v>
      </c>
      <c r="AX43" s="122">
        <f>AX42/AU42-1</f>
        <v>-0.21285549203522469</v>
      </c>
      <c r="AY43" s="122">
        <f>AY42/AV42-1</f>
        <v>-0.15087143744083031</v>
      </c>
      <c r="AZ43" s="661">
        <f>AZ42/AW42-1</f>
        <v>-0.18405315614617945</v>
      </c>
    </row>
    <row r="44" spans="2:52" s="417" customFormat="1" ht="14.5" x14ac:dyDescent="0.3">
      <c r="B44" s="418" t="s">
        <v>110</v>
      </c>
      <c r="C44" s="413"/>
      <c r="D44" s="413"/>
      <c r="E44" s="413"/>
      <c r="F44" s="413"/>
      <c r="G44" s="413"/>
      <c r="H44" s="413"/>
      <c r="I44" s="413"/>
      <c r="J44" s="413"/>
      <c r="K44" s="413"/>
      <c r="L44" s="413"/>
      <c r="M44" s="413"/>
      <c r="N44" s="413"/>
      <c r="O44" s="413"/>
      <c r="P44" s="413"/>
      <c r="Q44" s="413"/>
      <c r="R44" s="413"/>
      <c r="S44" s="413"/>
      <c r="T44" s="414">
        <v>0.14000000000000001</v>
      </c>
      <c r="U44" s="421"/>
      <c r="V44" s="416">
        <v>0.13</v>
      </c>
      <c r="W44" s="415">
        <v>0.08</v>
      </c>
      <c r="X44" s="421"/>
      <c r="Y44" s="657">
        <v>7.0000000000000007E-2</v>
      </c>
      <c r="Z44" s="415">
        <v>0.01</v>
      </c>
      <c r="AA44" s="415">
        <v>0.06</v>
      </c>
      <c r="AB44" s="657">
        <v>0.04</v>
      </c>
      <c r="AC44" s="415">
        <v>0.15</v>
      </c>
      <c r="AD44" s="415">
        <v>0.16</v>
      </c>
      <c r="AE44" s="657">
        <v>0.16</v>
      </c>
      <c r="AF44" s="415">
        <v>0.1</v>
      </c>
      <c r="AG44" s="415">
        <v>0.04</v>
      </c>
      <c r="AH44" s="657">
        <v>7.0000000000000007E-2</v>
      </c>
      <c r="AI44" s="415">
        <v>-0.03</v>
      </c>
      <c r="AJ44" s="415">
        <v>-0.27</v>
      </c>
      <c r="AK44" s="657">
        <v>-0.15</v>
      </c>
      <c r="AL44" s="415">
        <v>-0.31</v>
      </c>
      <c r="AM44" s="415">
        <v>0.18</v>
      </c>
      <c r="AN44" s="657">
        <v>-0.1</v>
      </c>
      <c r="AO44" s="415">
        <v>0.62</v>
      </c>
      <c r="AP44" s="415">
        <v>0.39</v>
      </c>
      <c r="AQ44" s="657">
        <v>0.49</v>
      </c>
      <c r="AR44" s="415">
        <v>0.12</v>
      </c>
      <c r="AS44" s="415">
        <v>-0.06</v>
      </c>
      <c r="AT44" s="657">
        <v>0.03</v>
      </c>
      <c r="AU44" s="415">
        <v>-0.15</v>
      </c>
      <c r="AV44" s="415">
        <f>[1]Interims!$BO$257</f>
        <v>-0.19</v>
      </c>
      <c r="AW44" s="657">
        <f>[1]Interims!$BO$257</f>
        <v>-0.19</v>
      </c>
      <c r="AX44" s="415">
        <f>[1]Interims!$BO$257</f>
        <v>-0.19</v>
      </c>
      <c r="AY44" s="415">
        <f>[1]Interims!$BO$257</f>
        <v>-0.19</v>
      </c>
      <c r="AZ44" s="657">
        <f>[1]Interims!$BO$257</f>
        <v>-0.19</v>
      </c>
    </row>
    <row r="45" spans="2:52" s="411" customFormat="1" ht="13" x14ac:dyDescent="0.3">
      <c r="B45" s="432" t="s">
        <v>111</v>
      </c>
      <c r="C45" s="409"/>
      <c r="D45" s="409"/>
      <c r="E45" s="409"/>
      <c r="F45" s="409"/>
      <c r="G45" s="409"/>
      <c r="H45" s="409"/>
      <c r="I45" s="409"/>
      <c r="J45" s="409"/>
      <c r="K45" s="409"/>
      <c r="L45" s="409"/>
      <c r="M45" s="409"/>
      <c r="N45" s="409"/>
      <c r="O45" s="409"/>
      <c r="P45" s="409"/>
      <c r="Q45" s="409"/>
      <c r="R45" s="409"/>
      <c r="S45" s="409"/>
      <c r="T45" s="410">
        <f t="shared" ref="T45" si="140">(1+T43)/(1+T44)-1</f>
        <v>-4.3859649122807043E-2</v>
      </c>
      <c r="U45" s="433"/>
      <c r="V45" s="439">
        <f t="shared" ref="V45" si="141">(1+V43)/(1+V44)-1</f>
        <v>-3.5398230088495408E-2</v>
      </c>
      <c r="W45" s="434">
        <f t="shared" ref="W45" si="142">(1+W43)/(1+W44)-1</f>
        <v>-4.0717736369910273E-2</v>
      </c>
      <c r="X45" s="433"/>
      <c r="Y45" s="665">
        <f t="shared" ref="Y45" si="143">(1+Y43)/(1+Y44)-1</f>
        <v>-9.246835498301853E-3</v>
      </c>
      <c r="Z45" s="434">
        <f t="shared" ref="Z45" si="144">(1+Z43)/(1+Z44)-1</f>
        <v>0.13968231355509642</v>
      </c>
      <c r="AA45" s="434">
        <f t="shared" ref="AA45" si="145">(1+AA43)/(1+AA44)-1</f>
        <v>9.7187201112946653E-2</v>
      </c>
      <c r="AB45" s="665">
        <f t="shared" ref="AB45" si="146">(1+AB43)/(1+AB44)-1</f>
        <v>0.11266157461809634</v>
      </c>
      <c r="AC45" s="434">
        <f t="shared" ref="AC45" si="147">(1+AC43)/(1+AC44)-1</f>
        <v>6.3405797101450112E-3</v>
      </c>
      <c r="AD45" s="434">
        <f t="shared" ref="AD45" si="148">(1+AD43)/(1+AD44)-1</f>
        <v>-1.1972468446311391E-2</v>
      </c>
      <c r="AE45" s="665">
        <f t="shared" ref="AE45" si="149">(1+AE43)/(1+AE44)-1</f>
        <v>-7.274732778317361E-3</v>
      </c>
      <c r="AF45" s="434">
        <f t="shared" ref="AF45" si="150">(1+AF43)/(1+AF44)-1</f>
        <v>-1.5219703788560857E-2</v>
      </c>
      <c r="AG45" s="434">
        <f t="shared" ref="AG45" si="151">(1+AG43)/(1+AG44)-1</f>
        <v>-3.9724752343597292E-3</v>
      </c>
      <c r="AH45" s="665">
        <f t="shared" ref="AH45:AT45" si="152">(1+AH43)/(1+AH44)-1</f>
        <v>-1.020290428390136E-2</v>
      </c>
      <c r="AI45" s="434">
        <f t="shared" si="152"/>
        <v>-3.3836019513522331E-4</v>
      </c>
      <c r="AJ45" s="434">
        <f t="shared" si="152"/>
        <v>-7.3207948291529323E-3</v>
      </c>
      <c r="AK45" s="665">
        <v>0</v>
      </c>
      <c r="AL45" s="434">
        <f t="shared" si="152"/>
        <v>1.5771891260882853E-3</v>
      </c>
      <c r="AM45" s="434">
        <f t="shared" si="152"/>
        <v>-2.1301093839953822E-2</v>
      </c>
      <c r="AN45" s="665">
        <f t="shared" si="152"/>
        <v>-1.2254701274598157E-2</v>
      </c>
      <c r="AO45" s="434">
        <f t="shared" si="152"/>
        <v>-3.8674963452810296E-2</v>
      </c>
      <c r="AP45" s="434">
        <f t="shared" si="152"/>
        <v>5.9533629327823689E-4</v>
      </c>
      <c r="AQ45" s="665">
        <f t="shared" si="152"/>
        <v>-1.3422818791946289E-2</v>
      </c>
      <c r="AR45" s="434">
        <f t="shared" si="152"/>
        <v>3.5714285714285587E-2</v>
      </c>
      <c r="AS45" s="434">
        <f t="shared" si="152"/>
        <v>1.0638297872340496E-2</v>
      </c>
      <c r="AT45" s="665">
        <f t="shared" si="152"/>
        <v>1.9417475728155331E-2</v>
      </c>
      <c r="AU45" s="434">
        <v>-0.02</v>
      </c>
      <c r="AV45" s="434">
        <f>AV43-AV44</f>
        <v>-2.2451718831557888E-2</v>
      </c>
      <c r="AW45" s="665">
        <f>AW43-AW44</f>
        <v>-2.0186113099497915E-3</v>
      </c>
      <c r="AX45" s="434">
        <f>AX43-AX44</f>
        <v>-2.2855492035224689E-2</v>
      </c>
      <c r="AY45" s="434">
        <f>AY43-AY44</f>
        <v>3.9128562559169688E-2</v>
      </c>
      <c r="AZ45" s="665">
        <f>AZ43-AZ44</f>
        <v>5.9468438538205493E-3</v>
      </c>
    </row>
    <row r="46" spans="2:52" s="30" customFormat="1" ht="14.5" thickBot="1" x14ac:dyDescent="0.35">
      <c r="B46" s="15" t="s">
        <v>115</v>
      </c>
      <c r="C46" s="28"/>
      <c r="D46" s="28"/>
      <c r="E46" s="28"/>
      <c r="F46" s="28"/>
      <c r="G46" s="28"/>
      <c r="H46" s="28"/>
      <c r="I46" s="28"/>
      <c r="J46" s="28"/>
      <c r="K46" s="28"/>
      <c r="L46" s="28"/>
      <c r="M46" s="28"/>
      <c r="N46" s="28"/>
      <c r="O46" s="28"/>
      <c r="P46" s="28"/>
      <c r="Q46" s="28"/>
      <c r="R46" s="28"/>
      <c r="S46" s="28"/>
      <c r="T46" s="29">
        <v>383.9</v>
      </c>
      <c r="U46" s="29">
        <v>380.3</v>
      </c>
      <c r="V46" s="654">
        <v>764.2</v>
      </c>
      <c r="W46" s="29">
        <v>396.9</v>
      </c>
      <c r="X46" s="29">
        <v>413.4</v>
      </c>
      <c r="Y46" s="654">
        <v>810.3</v>
      </c>
      <c r="Z46" s="29">
        <v>465.5</v>
      </c>
      <c r="AA46" s="29">
        <v>489.1</v>
      </c>
      <c r="AB46" s="654">
        <v>954.60000000000014</v>
      </c>
      <c r="AC46" s="29">
        <v>525.79999999999995</v>
      </c>
      <c r="AD46" s="29">
        <v>547</v>
      </c>
      <c r="AE46" s="654">
        <v>1072.8</v>
      </c>
      <c r="AF46" s="29">
        <v>568</v>
      </c>
      <c r="AG46" s="29">
        <v>561.70000000000005</v>
      </c>
      <c r="AH46" s="654">
        <v>1129.7</v>
      </c>
      <c r="AI46" s="29">
        <f>AI32</f>
        <v>553.1</v>
      </c>
      <c r="AJ46" s="29">
        <v>443.1</v>
      </c>
      <c r="AK46" s="654">
        <v>996.2</v>
      </c>
      <c r="AL46" s="29">
        <f>AL32</f>
        <v>422.8</v>
      </c>
      <c r="AM46" s="29">
        <f>AM32</f>
        <v>495.3</v>
      </c>
      <c r="AN46" s="654">
        <f t="shared" ref="AN46:AO46" si="153">AN32</f>
        <v>918.1</v>
      </c>
      <c r="AO46" s="29">
        <f t="shared" si="153"/>
        <v>565.29999999999995</v>
      </c>
      <c r="AP46" s="29">
        <v>624.1</v>
      </c>
      <c r="AQ46" s="654">
        <v>1189.4000000000001</v>
      </c>
      <c r="AR46" s="29">
        <v>651.9</v>
      </c>
      <c r="AS46" s="29">
        <v>642.66841591240302</v>
      </c>
      <c r="AT46" s="654">
        <v>1294.568415912403</v>
      </c>
      <c r="AU46" s="29">
        <v>583.29999999999995</v>
      </c>
      <c r="AV46" s="29">
        <f>[1]Interims!BO40</f>
        <v>530.28236833120047</v>
      </c>
      <c r="AW46" s="654">
        <f>[1]Interims!BP40</f>
        <v>1113.6078977339955</v>
      </c>
      <c r="AX46" s="29">
        <f>[1]Interims!BQ40</f>
        <v>495.96229746592201</v>
      </c>
      <c r="AY46" s="29">
        <f>[1]Interims!BR40</f>
        <v>476.30255006934226</v>
      </c>
      <c r="AZ46" s="654">
        <f>[1]Interims!BS40</f>
        <v>972.3648475352644</v>
      </c>
    </row>
    <row r="47" spans="2:52" s="35" customFormat="1" ht="15" thickTop="1" x14ac:dyDescent="0.35">
      <c r="B47" s="197" t="s">
        <v>109</v>
      </c>
      <c r="C47" s="121"/>
      <c r="D47" s="121"/>
      <c r="E47" s="121"/>
      <c r="F47" s="121"/>
      <c r="G47" s="121"/>
      <c r="H47" s="121"/>
      <c r="I47" s="121"/>
      <c r="J47" s="121"/>
      <c r="K47" s="121"/>
      <c r="L47" s="121"/>
      <c r="M47" s="121"/>
      <c r="N47" s="121"/>
      <c r="O47" s="121"/>
      <c r="P47" s="121"/>
      <c r="Q47" s="121"/>
      <c r="R47" s="121"/>
      <c r="S47" s="121"/>
      <c r="T47" s="122">
        <v>0.06</v>
      </c>
      <c r="U47" s="122">
        <v>0.05</v>
      </c>
      <c r="V47" s="396">
        <v>0.05</v>
      </c>
      <c r="W47" s="122">
        <f t="shared" ref="W47:AC47" si="154">W46/T46-1</f>
        <v>3.3862985152383507E-2</v>
      </c>
      <c r="X47" s="122">
        <f t="shared" si="154"/>
        <v>8.7036550092032483E-2</v>
      </c>
      <c r="Y47" s="396">
        <f t="shared" si="154"/>
        <v>6.0324522376341116E-2</v>
      </c>
      <c r="Z47" s="122">
        <f t="shared" si="154"/>
        <v>0.17283950617283961</v>
      </c>
      <c r="AA47" s="122">
        <f t="shared" si="154"/>
        <v>0.18311562651185298</v>
      </c>
      <c r="AB47" s="396">
        <f t="shared" si="154"/>
        <v>0.17808219178082219</v>
      </c>
      <c r="AC47" s="122">
        <f t="shared" si="154"/>
        <v>0.12953813104189038</v>
      </c>
      <c r="AD47" s="122">
        <f>AD46/AA46-1</f>
        <v>0.11838069924350836</v>
      </c>
      <c r="AE47" s="396">
        <f>AE46/AB46-1</f>
        <v>0.12382149591451896</v>
      </c>
      <c r="AF47" s="122">
        <f t="shared" ref="AF47" si="155">AF46/AC46-1</f>
        <v>8.0258653480410835E-2</v>
      </c>
      <c r="AG47" s="122">
        <v>0.03</v>
      </c>
      <c r="AH47" s="396">
        <f>AH46/AE46-1</f>
        <v>5.303877703206572E-2</v>
      </c>
      <c r="AI47" s="122">
        <f t="shared" ref="AI47:AJ47" si="156">AI46/AF46-1</f>
        <v>-2.6232394366197176E-2</v>
      </c>
      <c r="AJ47" s="122">
        <f t="shared" si="156"/>
        <v>-0.21114473918461818</v>
      </c>
      <c r="AK47" s="396">
        <f>AK46/AH46-1</f>
        <v>-0.11817296627423213</v>
      </c>
      <c r="AL47" s="122">
        <f t="shared" ref="AL47:AR47" si="157">AL46/AI46-1</f>
        <v>-0.23558126920990785</v>
      </c>
      <c r="AM47" s="122">
        <f t="shared" si="157"/>
        <v>0.11780636425186186</v>
      </c>
      <c r="AN47" s="396">
        <f>AN46/AK46-1</f>
        <v>-7.8397912065850228E-2</v>
      </c>
      <c r="AO47" s="122">
        <f t="shared" si="157"/>
        <v>0.33703878902554374</v>
      </c>
      <c r="AP47" s="122">
        <f t="shared" si="157"/>
        <v>0.26004441752473251</v>
      </c>
      <c r="AQ47" s="396">
        <f>AQ46/AN46-1</f>
        <v>0.29550157934865484</v>
      </c>
      <c r="AR47" s="122">
        <f t="shared" si="157"/>
        <v>0.15319299486998061</v>
      </c>
      <c r="AS47" s="122">
        <f t="shared" ref="AS47" si="158">AS46/AP46-1</f>
        <v>2.9752308784494419E-2</v>
      </c>
      <c r="AT47" s="396">
        <f t="shared" ref="AT47:AZ47" si="159">AT46/AQ46-1</f>
        <v>8.8421402314110331E-2</v>
      </c>
      <c r="AU47" s="122">
        <f t="shared" si="159"/>
        <v>-0.10523086362939105</v>
      </c>
      <c r="AV47" s="122">
        <f t="shared" si="159"/>
        <v>-0.1748740793829846</v>
      </c>
      <c r="AW47" s="396">
        <f t="shared" si="159"/>
        <v>-0.13978443777408844</v>
      </c>
      <c r="AX47" s="122">
        <f t="shared" si="159"/>
        <v>-0.14973033179166462</v>
      </c>
      <c r="AY47" s="122">
        <f t="shared" si="159"/>
        <v>-0.1017944806117782</v>
      </c>
      <c r="AZ47" s="396">
        <f t="shared" si="159"/>
        <v>-0.12683373608083859</v>
      </c>
    </row>
    <row r="48" spans="2:52" x14ac:dyDescent="0.3">
      <c r="T48" s="274"/>
      <c r="U48" s="274"/>
      <c r="V48" s="290"/>
      <c r="W48" s="274"/>
      <c r="X48" s="274"/>
      <c r="Y48" s="480"/>
      <c r="Z48" s="274"/>
      <c r="AA48" s="274"/>
      <c r="AB48" s="290"/>
      <c r="AC48" s="274"/>
      <c r="AD48" s="274"/>
      <c r="AE48" s="290"/>
      <c r="AF48" s="274"/>
      <c r="AG48" s="274"/>
      <c r="AH48" s="290"/>
      <c r="AI48" s="312"/>
      <c r="AJ48" s="11"/>
      <c r="AK48" s="290"/>
      <c r="AL48" s="11"/>
      <c r="AM48" s="11"/>
      <c r="AN48" s="290"/>
      <c r="AO48" s="11"/>
      <c r="AP48" s="11"/>
      <c r="AQ48" s="290"/>
      <c r="AR48" s="11"/>
      <c r="AS48" s="11"/>
      <c r="AT48" s="290"/>
      <c r="AU48" s="11"/>
      <c r="AV48" s="11"/>
      <c r="AW48" s="290"/>
      <c r="AX48" s="11"/>
      <c r="AY48" s="11"/>
      <c r="AZ48" s="290"/>
    </row>
    <row r="49" spans="2:52" s="225" customFormat="1" x14ac:dyDescent="0.3">
      <c r="B49" s="569" t="s">
        <v>119</v>
      </c>
      <c r="C49" s="569"/>
      <c r="D49" s="569"/>
      <c r="E49" s="569"/>
      <c r="F49" s="569"/>
      <c r="G49" s="569"/>
      <c r="H49" s="569"/>
      <c r="I49" s="569"/>
      <c r="J49" s="569"/>
      <c r="K49" s="569"/>
      <c r="L49" s="569"/>
      <c r="M49" s="569"/>
      <c r="N49" s="569"/>
      <c r="O49" s="569"/>
      <c r="P49" s="569"/>
      <c r="Q49" s="569"/>
      <c r="R49" s="569"/>
      <c r="S49" s="569"/>
      <c r="T49" s="312"/>
      <c r="U49" s="312"/>
      <c r="V49" s="566"/>
      <c r="W49" s="312"/>
      <c r="X49" s="312"/>
      <c r="Y49" s="566"/>
      <c r="Z49" s="312"/>
      <c r="AA49" s="312"/>
      <c r="AB49" s="566"/>
      <c r="AC49" s="312"/>
      <c r="AD49" s="312"/>
      <c r="AE49" s="566"/>
      <c r="AF49" s="312"/>
      <c r="AG49" s="312"/>
      <c r="AH49" s="566"/>
      <c r="AI49" s="312"/>
      <c r="AJ49" s="568"/>
      <c r="AK49" s="566"/>
      <c r="AL49" s="568"/>
      <c r="AM49" s="568"/>
      <c r="AN49" s="566"/>
      <c r="AO49" s="568"/>
      <c r="AP49" s="568"/>
      <c r="AQ49" s="566"/>
      <c r="AR49" s="568"/>
      <c r="AS49" s="568"/>
      <c r="AT49" s="566"/>
      <c r="AU49" s="568"/>
      <c r="AV49" s="568"/>
      <c r="AW49" s="566"/>
      <c r="AX49" s="568"/>
      <c r="AY49" s="568"/>
      <c r="AZ49" s="566"/>
    </row>
    <row r="50" spans="2:52" s="142" customFormat="1" x14ac:dyDescent="0.3">
      <c r="B50" s="570" t="s">
        <v>120</v>
      </c>
      <c r="C50" s="570"/>
      <c r="D50" s="570"/>
      <c r="E50" s="570"/>
      <c r="F50" s="570"/>
      <c r="G50" s="570"/>
      <c r="H50" s="570"/>
      <c r="I50" s="570"/>
      <c r="J50" s="570"/>
      <c r="K50" s="570"/>
      <c r="L50" s="570"/>
      <c r="M50" s="570"/>
      <c r="N50" s="570"/>
      <c r="O50" s="570"/>
      <c r="P50" s="570"/>
      <c r="Q50" s="570"/>
      <c r="R50" s="570"/>
      <c r="S50" s="570"/>
      <c r="T50" s="314"/>
      <c r="U50" s="314"/>
      <c r="V50" s="555">
        <v>-440.6</v>
      </c>
      <c r="W50" s="314"/>
      <c r="X50" s="314"/>
      <c r="Y50" s="555">
        <v>-476.3</v>
      </c>
      <c r="Z50" s="314"/>
      <c r="AA50" s="314"/>
      <c r="AB50" s="555">
        <v>-563</v>
      </c>
      <c r="AC50" s="314"/>
      <c r="AD50" s="314"/>
      <c r="AE50" s="555">
        <v>-635.20000000000005</v>
      </c>
      <c r="AF50" s="314"/>
      <c r="AG50" s="314"/>
      <c r="AH50" s="555">
        <v>-677.5</v>
      </c>
      <c r="AI50" s="314"/>
      <c r="AJ50" s="571"/>
      <c r="AK50" s="555">
        <v>-647.79999999999995</v>
      </c>
      <c r="AL50" s="571"/>
      <c r="AM50" s="571"/>
      <c r="AN50" s="555">
        <v>-624.5</v>
      </c>
      <c r="AO50" s="571"/>
      <c r="AP50" s="571"/>
      <c r="AQ50" s="555">
        <v>-766.5</v>
      </c>
      <c r="AR50" s="571"/>
      <c r="AS50" s="571"/>
      <c r="AT50" s="555">
        <v>-868.8</v>
      </c>
      <c r="AU50" s="571"/>
      <c r="AV50" s="571"/>
      <c r="AW50" s="555">
        <v>-789.4</v>
      </c>
      <c r="AX50" s="571"/>
      <c r="AY50" s="571"/>
      <c r="AZ50" s="555">
        <v>-698.5</v>
      </c>
    </row>
    <row r="51" spans="2:52" s="142" customFormat="1" ht="14" hidden="1" customHeight="1" x14ac:dyDescent="0.3">
      <c r="B51" s="570" t="s">
        <v>121</v>
      </c>
      <c r="C51" s="570"/>
      <c r="D51" s="570"/>
      <c r="E51" s="570"/>
      <c r="F51" s="570"/>
      <c r="G51" s="570"/>
      <c r="H51" s="570"/>
      <c r="I51" s="570"/>
      <c r="J51" s="570"/>
      <c r="K51" s="570"/>
      <c r="L51" s="570"/>
      <c r="M51" s="570"/>
      <c r="N51" s="570"/>
      <c r="O51" s="570"/>
      <c r="P51" s="570"/>
      <c r="Q51" s="570"/>
      <c r="R51" s="570"/>
      <c r="S51" s="570"/>
      <c r="T51" s="314"/>
      <c r="U51" s="314"/>
      <c r="V51" s="555">
        <v>-30.8</v>
      </c>
      <c r="W51" s="314"/>
      <c r="X51" s="314"/>
      <c r="Y51" s="555">
        <v>-34</v>
      </c>
      <c r="Z51" s="314"/>
      <c r="AA51" s="314"/>
      <c r="AB51" s="555">
        <v>-42.1</v>
      </c>
      <c r="AC51" s="314"/>
      <c r="AD51" s="314"/>
      <c r="AE51" s="555">
        <v>-45.3</v>
      </c>
      <c r="AF51" s="314"/>
      <c r="AG51" s="314"/>
      <c r="AH51" s="555">
        <v>-49.8</v>
      </c>
      <c r="AI51" s="314"/>
      <c r="AJ51" s="571"/>
      <c r="AK51" s="555">
        <v>0</v>
      </c>
      <c r="AL51" s="571"/>
      <c r="AM51" s="571"/>
      <c r="AN51" s="555">
        <v>0</v>
      </c>
      <c r="AO51" s="571"/>
      <c r="AP51" s="571"/>
      <c r="AQ51" s="555">
        <v>0</v>
      </c>
      <c r="AR51" s="571"/>
      <c r="AS51" s="571"/>
      <c r="AT51" s="555">
        <v>0</v>
      </c>
      <c r="AU51" s="571"/>
      <c r="AV51" s="571"/>
      <c r="AW51" s="555"/>
      <c r="AX51" s="571"/>
      <c r="AY51" s="571"/>
      <c r="AZ51" s="555"/>
    </row>
    <row r="52" spans="2:52" s="142" customFormat="1" ht="14" hidden="1" customHeight="1" x14ac:dyDescent="0.3">
      <c r="B52" s="570" t="s">
        <v>683</v>
      </c>
      <c r="C52" s="570"/>
      <c r="D52" s="570"/>
      <c r="E52" s="570"/>
      <c r="F52" s="570"/>
      <c r="G52" s="570"/>
      <c r="H52" s="570"/>
      <c r="I52" s="570"/>
      <c r="J52" s="570"/>
      <c r="K52" s="570"/>
      <c r="L52" s="570"/>
      <c r="M52" s="570"/>
      <c r="N52" s="570"/>
      <c r="O52" s="570"/>
      <c r="P52" s="570"/>
      <c r="Q52" s="570"/>
      <c r="R52" s="570"/>
      <c r="S52" s="570"/>
      <c r="T52" s="314"/>
      <c r="U52" s="314"/>
      <c r="V52" s="555">
        <v>0</v>
      </c>
      <c r="W52" s="314"/>
      <c r="X52" s="314"/>
      <c r="Y52" s="555">
        <v>0</v>
      </c>
      <c r="Z52" s="314"/>
      <c r="AA52" s="314"/>
      <c r="AB52" s="555">
        <v>0</v>
      </c>
      <c r="AC52" s="314"/>
      <c r="AD52" s="314"/>
      <c r="AE52" s="555">
        <v>0</v>
      </c>
      <c r="AF52" s="314"/>
      <c r="AG52" s="314"/>
      <c r="AH52" s="555">
        <v>0</v>
      </c>
      <c r="AI52" s="314"/>
      <c r="AJ52" s="571"/>
      <c r="AK52" s="555">
        <v>-3.1</v>
      </c>
      <c r="AL52" s="571"/>
      <c r="AM52" s="571"/>
      <c r="AN52" s="555">
        <v>-2.1</v>
      </c>
      <c r="AO52" s="571"/>
      <c r="AP52" s="571"/>
      <c r="AQ52" s="555">
        <v>-3.1</v>
      </c>
      <c r="AR52" s="571"/>
      <c r="AS52" s="571"/>
      <c r="AT52" s="555">
        <v>-3.8</v>
      </c>
      <c r="AU52" s="571"/>
      <c r="AV52" s="571"/>
      <c r="AW52" s="555"/>
      <c r="AX52" s="571"/>
      <c r="AY52" s="571"/>
      <c r="AZ52" s="555"/>
    </row>
    <row r="53" spans="2:52" s="142" customFormat="1" ht="14" hidden="1" customHeight="1" x14ac:dyDescent="0.3">
      <c r="B53" s="570" t="s">
        <v>122</v>
      </c>
      <c r="C53" s="570"/>
      <c r="D53" s="570"/>
      <c r="E53" s="570"/>
      <c r="F53" s="570"/>
      <c r="G53" s="570"/>
      <c r="H53" s="570"/>
      <c r="I53" s="570"/>
      <c r="J53" s="570"/>
      <c r="K53" s="570"/>
      <c r="L53" s="570"/>
      <c r="M53" s="570"/>
      <c r="N53" s="570"/>
      <c r="O53" s="570"/>
      <c r="P53" s="570"/>
      <c r="Q53" s="570"/>
      <c r="R53" s="570"/>
      <c r="S53" s="570"/>
      <c r="T53" s="314"/>
      <c r="U53" s="314"/>
      <c r="V53" s="555">
        <v>-2.5</v>
      </c>
      <c r="W53" s="314"/>
      <c r="X53" s="314"/>
      <c r="Y53" s="555">
        <v>-3</v>
      </c>
      <c r="Z53" s="314"/>
      <c r="AA53" s="314"/>
      <c r="AB53" s="555">
        <v>-3.2</v>
      </c>
      <c r="AC53" s="314"/>
      <c r="AD53" s="314"/>
      <c r="AE53" s="555">
        <v>-3.6</v>
      </c>
      <c r="AF53" s="314"/>
      <c r="AG53" s="314"/>
      <c r="AH53" s="555">
        <v>-3.9</v>
      </c>
      <c r="AI53" s="314"/>
      <c r="AJ53" s="571"/>
      <c r="AK53" s="555">
        <v>-10.6</v>
      </c>
      <c r="AL53" s="571"/>
      <c r="AM53" s="571"/>
      <c r="AN53" s="555">
        <v>-1.9</v>
      </c>
      <c r="AO53" s="571"/>
      <c r="AP53" s="571"/>
      <c r="AQ53" s="555">
        <v>-2.4</v>
      </c>
      <c r="AR53" s="571"/>
      <c r="AS53" s="571"/>
      <c r="AT53" s="555">
        <v>-3</v>
      </c>
      <c r="AU53" s="571"/>
      <c r="AV53" s="571"/>
      <c r="AW53" s="555"/>
      <c r="AX53" s="571"/>
      <c r="AY53" s="571"/>
      <c r="AZ53" s="555"/>
    </row>
    <row r="54" spans="2:52" s="142" customFormat="1" ht="14" hidden="1" customHeight="1" x14ac:dyDescent="0.3">
      <c r="B54" s="570" t="s">
        <v>123</v>
      </c>
      <c r="C54" s="570"/>
      <c r="D54" s="570"/>
      <c r="E54" s="570"/>
      <c r="F54" s="570"/>
      <c r="G54" s="570"/>
      <c r="H54" s="570"/>
      <c r="I54" s="570"/>
      <c r="J54" s="570"/>
      <c r="K54" s="570"/>
      <c r="L54" s="570"/>
      <c r="M54" s="570"/>
      <c r="N54" s="570"/>
      <c r="O54" s="570"/>
      <c r="P54" s="570"/>
      <c r="Q54" s="570"/>
      <c r="R54" s="570"/>
      <c r="S54" s="570"/>
      <c r="T54" s="314"/>
      <c r="U54" s="314"/>
      <c r="V54" s="555">
        <f>-0.9-0.4</f>
        <v>-1.3</v>
      </c>
      <c r="W54" s="314"/>
      <c r="X54" s="314"/>
      <c r="Y54" s="555">
        <f>-0.9-0.7</f>
        <v>-1.6</v>
      </c>
      <c r="Z54" s="314"/>
      <c r="AA54" s="314"/>
      <c r="AB54" s="555">
        <f>-1.1-0.7</f>
        <v>-1.8</v>
      </c>
      <c r="AC54" s="314"/>
      <c r="AD54" s="314"/>
      <c r="AE54" s="555">
        <f>-1.2-0.5</f>
        <v>-1.7</v>
      </c>
      <c r="AF54" s="314"/>
      <c r="AG54" s="314"/>
      <c r="AH54" s="555">
        <f>-1.4-0.1</f>
        <v>-1.5</v>
      </c>
      <c r="AI54" s="314"/>
      <c r="AJ54" s="571"/>
      <c r="AK54" s="555">
        <f>-1.4-0.1</f>
        <v>-1.5</v>
      </c>
      <c r="AL54" s="571"/>
      <c r="AM54" s="571"/>
      <c r="AN54" s="555">
        <v>-1.7</v>
      </c>
      <c r="AO54" s="571"/>
      <c r="AP54" s="571"/>
      <c r="AQ54" s="555">
        <f>-1.8-0.2</f>
        <v>-2</v>
      </c>
      <c r="AR54" s="571"/>
      <c r="AS54" s="571"/>
      <c r="AT54" s="555">
        <v>-2.2999999999999998</v>
      </c>
      <c r="AU54" s="571"/>
      <c r="AV54" s="571"/>
      <c r="AW54" s="555"/>
      <c r="AX54" s="571"/>
      <c r="AY54" s="571"/>
      <c r="AZ54" s="555"/>
    </row>
    <row r="55" spans="2:52" s="142" customFormat="1" ht="14" hidden="1" customHeight="1" x14ac:dyDescent="0.3">
      <c r="B55" s="621" t="s">
        <v>124</v>
      </c>
      <c r="C55" s="621"/>
      <c r="D55" s="621"/>
      <c r="E55" s="621"/>
      <c r="F55" s="621"/>
      <c r="G55" s="621"/>
      <c r="H55" s="621"/>
      <c r="I55" s="621"/>
      <c r="J55" s="621"/>
      <c r="K55" s="621"/>
      <c r="L55" s="621"/>
      <c r="M55" s="621"/>
      <c r="N55" s="621"/>
      <c r="O55" s="621"/>
      <c r="P55" s="621"/>
      <c r="Q55" s="621"/>
      <c r="R55" s="621"/>
      <c r="S55" s="621"/>
      <c r="T55" s="319"/>
      <c r="U55" s="319"/>
      <c r="V55" s="622">
        <f>V56-SUM(V50:V54)</f>
        <v>-102.49999999999989</v>
      </c>
      <c r="W55" s="319"/>
      <c r="X55" s="319"/>
      <c r="Y55" s="622">
        <f>Y56-SUM(Y50:Y54)</f>
        <v>-92.499999999999886</v>
      </c>
      <c r="Z55" s="319"/>
      <c r="AA55" s="319"/>
      <c r="AB55" s="622">
        <v>-111.3</v>
      </c>
      <c r="AC55" s="319"/>
      <c r="AD55" s="319"/>
      <c r="AE55" s="622">
        <v>-128.1</v>
      </c>
      <c r="AF55" s="319"/>
      <c r="AG55" s="319"/>
      <c r="AH55" s="622">
        <v>-133</v>
      </c>
      <c r="AI55" s="319"/>
      <c r="AJ55" s="623"/>
      <c r="AK55" s="622">
        <v>-135.30000000000001</v>
      </c>
      <c r="AL55" s="623"/>
      <c r="AM55" s="623"/>
      <c r="AN55" s="622">
        <v>-124.8</v>
      </c>
      <c r="AO55" s="623"/>
      <c r="AP55" s="623"/>
      <c r="AQ55" s="622">
        <f>-137-4.2</f>
        <v>-141.19999999999999</v>
      </c>
      <c r="AR55" s="623"/>
      <c r="AS55" s="623"/>
      <c r="AT55" s="622">
        <v>-152.80000000000001</v>
      </c>
      <c r="AU55" s="623"/>
      <c r="AV55" s="623"/>
      <c r="AW55" s="622"/>
      <c r="AX55" s="623"/>
      <c r="AY55" s="623"/>
      <c r="AZ55" s="622"/>
    </row>
    <row r="56" spans="2:52" s="142" customFormat="1" x14ac:dyDescent="0.3">
      <c r="B56" s="142" t="s">
        <v>690</v>
      </c>
      <c r="T56" s="314">
        <f t="shared" ref="T56:AA56" si="160">T61-T60-T58</f>
        <v>-291</v>
      </c>
      <c r="U56" s="314">
        <f t="shared" si="160"/>
        <v>-286.65000000000003</v>
      </c>
      <c r="V56" s="555">
        <f t="shared" si="160"/>
        <v>-577.69999999999993</v>
      </c>
      <c r="W56" s="314">
        <f t="shared" si="160"/>
        <v>-299.09999999999997</v>
      </c>
      <c r="X56" s="314">
        <f t="shared" si="160"/>
        <v>-308.29999999999995</v>
      </c>
      <c r="Y56" s="555">
        <f t="shared" si="160"/>
        <v>-607.39999999999986</v>
      </c>
      <c r="Z56" s="314">
        <f t="shared" si="160"/>
        <v>-353.09999999999997</v>
      </c>
      <c r="AA56" s="314">
        <f t="shared" si="160"/>
        <v>-368.30000000000007</v>
      </c>
      <c r="AB56" s="555">
        <f>SUM(AB50:AB55)</f>
        <v>-721.4</v>
      </c>
      <c r="AC56" s="314">
        <f>AC61-AC60-AC58</f>
        <v>-400.6699999999999</v>
      </c>
      <c r="AD56" s="314">
        <f>AD61-AD60-AD58</f>
        <v>-413.20000000000005</v>
      </c>
      <c r="AE56" s="555">
        <f>SUM(AE50:AE55)</f>
        <v>-813.90000000000009</v>
      </c>
      <c r="AF56" s="314">
        <f>AF61-AF60-AF58</f>
        <v>-435.4</v>
      </c>
      <c r="AG56" s="314">
        <f>AH56-AF56</f>
        <v>-430.29999999999995</v>
      </c>
      <c r="AH56" s="555">
        <f>SUM(AH50:AH55)</f>
        <v>-865.69999999999993</v>
      </c>
      <c r="AI56" s="314">
        <f>AI61-SUM(AI58:AI60)</f>
        <v>-420.9</v>
      </c>
      <c r="AJ56" s="314">
        <f>AK56-AI56</f>
        <v>-377.4</v>
      </c>
      <c r="AK56" s="555">
        <f>SUM(AK50:AK55)</f>
        <v>-798.3</v>
      </c>
      <c r="AL56" s="314">
        <f>AL61-SUM(AL58:AL60)</f>
        <v>-363.2</v>
      </c>
      <c r="AM56" s="314">
        <f>AN56-AL56</f>
        <v>-391.8</v>
      </c>
      <c r="AN56" s="555">
        <f>SUM(AN50:AN55)</f>
        <v>-755</v>
      </c>
      <c r="AO56" s="314">
        <f>AO61-SUM(AO58:AO60)</f>
        <v>-431.99999999999994</v>
      </c>
      <c r="AP56" s="314">
        <f>AQ56-AO56</f>
        <v>-483.2000000000001</v>
      </c>
      <c r="AQ56" s="555">
        <f>SUM(AQ50:AQ55)</f>
        <v>-915.2</v>
      </c>
      <c r="AR56" s="314">
        <v>-521.20000000000005</v>
      </c>
      <c r="AS56" s="314">
        <v>-509.43746327836539</v>
      </c>
      <c r="AT56" s="555">
        <v>-1030.7</v>
      </c>
      <c r="AU56" s="314">
        <f>AU61-AU60-AU59-AU58</f>
        <v>-488.40000000000009</v>
      </c>
      <c r="AV56" s="314">
        <f>AV61-AV60-AV59-AV58</f>
        <v>-453.72616561243871</v>
      </c>
      <c r="AW56" s="555">
        <f t="shared" ref="AW56:AZ56" si="161">AW61-AW60-AW59-AW58</f>
        <v>-942.35158309713461</v>
      </c>
      <c r="AX56" s="314">
        <f t="shared" si="161"/>
        <v>-438.40483139826938</v>
      </c>
      <c r="AY56" s="314">
        <f t="shared" si="161"/>
        <v>-425.43264550300836</v>
      </c>
      <c r="AZ56" s="555">
        <f t="shared" si="161"/>
        <v>-863.93747690127782</v>
      </c>
    </row>
    <row r="57" spans="2:52" s="225" customFormat="1" x14ac:dyDescent="0.3">
      <c r="B57" s="624"/>
      <c r="C57" s="624"/>
      <c r="D57" s="624"/>
      <c r="E57" s="624"/>
      <c r="F57" s="624"/>
      <c r="G57" s="624"/>
      <c r="H57" s="624"/>
      <c r="I57" s="624"/>
      <c r="J57" s="624"/>
      <c r="K57" s="624"/>
      <c r="L57" s="624"/>
      <c r="M57" s="624"/>
      <c r="N57" s="624"/>
      <c r="O57" s="624"/>
      <c r="P57" s="624"/>
      <c r="Q57" s="624"/>
      <c r="R57" s="624"/>
      <c r="S57" s="624"/>
      <c r="T57" s="312"/>
      <c r="U57" s="312"/>
      <c r="V57" s="566"/>
      <c r="W57" s="312"/>
      <c r="X57" s="312"/>
      <c r="Y57" s="566"/>
      <c r="Z57" s="320"/>
      <c r="AA57" s="312"/>
      <c r="AB57" s="566"/>
      <c r="AC57" s="312"/>
      <c r="AD57" s="312"/>
      <c r="AE57" s="566"/>
      <c r="AF57" s="320"/>
      <c r="AG57" s="312"/>
      <c r="AH57" s="566"/>
      <c r="AI57" s="320"/>
      <c r="AJ57" s="568"/>
      <c r="AK57" s="566"/>
      <c r="AL57" s="568"/>
      <c r="AM57" s="568"/>
      <c r="AN57" s="566"/>
      <c r="AO57" s="568"/>
      <c r="AP57" s="568"/>
      <c r="AQ57" s="566"/>
      <c r="AR57" s="568"/>
      <c r="AS57" s="568"/>
      <c r="AT57" s="566"/>
      <c r="AU57" s="568"/>
      <c r="AV57" s="568"/>
      <c r="AW57" s="566"/>
      <c r="AX57" s="568"/>
      <c r="AY57" s="568"/>
      <c r="AZ57" s="566"/>
    </row>
    <row r="58" spans="2:52" s="142" customFormat="1" x14ac:dyDescent="0.3">
      <c r="B58" s="570" t="s">
        <v>634</v>
      </c>
      <c r="C58" s="570"/>
      <c r="D58" s="570"/>
      <c r="E58" s="570"/>
      <c r="F58" s="570"/>
      <c r="G58" s="570"/>
      <c r="H58" s="570"/>
      <c r="I58" s="570"/>
      <c r="J58" s="570"/>
      <c r="K58" s="570"/>
      <c r="L58" s="570"/>
      <c r="M58" s="570"/>
      <c r="N58" s="570"/>
      <c r="O58" s="570"/>
      <c r="P58" s="570"/>
      <c r="Q58" s="570"/>
      <c r="R58" s="570"/>
      <c r="S58" s="570"/>
      <c r="T58" s="314">
        <v>-4.4000000000000004</v>
      </c>
      <c r="U58" s="314">
        <f>V58-T58</f>
        <v>-4.2999999999999989</v>
      </c>
      <c r="V58" s="555">
        <v>-8.6999999999999993</v>
      </c>
      <c r="W58" s="314">
        <v>-3.9</v>
      </c>
      <c r="X58" s="314">
        <f>Y58-W58</f>
        <v>-3.8000000000000003</v>
      </c>
      <c r="Y58" s="555">
        <v>-7.7</v>
      </c>
      <c r="Z58" s="314">
        <v>-4.5</v>
      </c>
      <c r="AA58" s="314">
        <f>AB58-Z58</f>
        <v>-4.4000000000000004</v>
      </c>
      <c r="AB58" s="555">
        <v>-8.9</v>
      </c>
      <c r="AC58" s="314">
        <v>-4.8</v>
      </c>
      <c r="AD58" s="314">
        <f>AE58-AC58</f>
        <v>-4.3999999999999995</v>
      </c>
      <c r="AE58" s="555">
        <v>-9.1999999999999993</v>
      </c>
      <c r="AF58" s="314">
        <v>-5.0999999999999996</v>
      </c>
      <c r="AG58" s="314">
        <f>AH58-AF58</f>
        <v>-4.9000000000000004</v>
      </c>
      <c r="AH58" s="555">
        <v>-10</v>
      </c>
      <c r="AI58" s="314">
        <f>-5.7</f>
        <v>-5.7</v>
      </c>
      <c r="AJ58" s="314">
        <f>AK58-AI58</f>
        <v>-5.2</v>
      </c>
      <c r="AK58" s="555">
        <v>-10.9</v>
      </c>
      <c r="AL58" s="571">
        <v>-5.5</v>
      </c>
      <c r="AM58" s="314">
        <f>AN58-AL58</f>
        <v>-6.1</v>
      </c>
      <c r="AN58" s="555">
        <v>-11.6</v>
      </c>
      <c r="AO58" s="571">
        <v>-5</v>
      </c>
      <c r="AP58" s="314">
        <f>AQ58-AO58</f>
        <v>-5</v>
      </c>
      <c r="AQ58" s="555">
        <v>-10</v>
      </c>
      <c r="AR58" s="571">
        <v>-5.4</v>
      </c>
      <c r="AS58" s="314">
        <v>-5.5196176031831898</v>
      </c>
      <c r="AT58" s="555">
        <v>-10.9345674000526</v>
      </c>
      <c r="AU58" s="571">
        <v>-5.5</v>
      </c>
      <c r="AV58" s="314">
        <f>[1]Interims!BO54</f>
        <v>-5.5286029338490703</v>
      </c>
      <c r="AW58" s="555">
        <f>[1]Interims!BP54</f>
        <v>-11.0182845146768</v>
      </c>
      <c r="AX58" s="571">
        <f>[1]Interims!BQ54</f>
        <v>-4.80283361434432</v>
      </c>
      <c r="AY58" s="314">
        <f>[1]Interims!BR54</f>
        <v>-4.7073695139595797</v>
      </c>
      <c r="AZ58" s="555">
        <f>[1]Interims!BS54</f>
        <v>-9.5102031283038997</v>
      </c>
    </row>
    <row r="59" spans="2:52" s="142" customFormat="1" x14ac:dyDescent="0.3">
      <c r="B59" s="570" t="s">
        <v>633</v>
      </c>
      <c r="C59" s="570"/>
      <c r="D59" s="570"/>
      <c r="E59" s="570"/>
      <c r="F59" s="570"/>
      <c r="G59" s="570"/>
      <c r="H59" s="570"/>
      <c r="I59" s="570"/>
      <c r="J59" s="570"/>
      <c r="K59" s="570"/>
      <c r="L59" s="570"/>
      <c r="M59" s="570"/>
      <c r="N59" s="570"/>
      <c r="O59" s="570"/>
      <c r="P59" s="570"/>
      <c r="Q59" s="570"/>
      <c r="R59" s="570"/>
      <c r="S59" s="570"/>
      <c r="T59" s="314">
        <v>0</v>
      </c>
      <c r="U59" s="314">
        <f t="shared" ref="U59" si="162">V59-T59</f>
        <v>0</v>
      </c>
      <c r="V59" s="555">
        <v>0</v>
      </c>
      <c r="W59" s="314">
        <v>0</v>
      </c>
      <c r="X59" s="314">
        <f t="shared" ref="X59" si="163">Y59-W59</f>
        <v>0</v>
      </c>
      <c r="Y59" s="555">
        <v>0</v>
      </c>
      <c r="Z59" s="314">
        <v>0</v>
      </c>
      <c r="AA59" s="314">
        <f t="shared" ref="AA59" si="164">AB59-Z59</f>
        <v>0</v>
      </c>
      <c r="AB59" s="555">
        <v>0</v>
      </c>
      <c r="AC59" s="314">
        <v>0</v>
      </c>
      <c r="AD59" s="314">
        <f t="shared" ref="AD59" si="165">AE59-AC59</f>
        <v>0</v>
      </c>
      <c r="AE59" s="555">
        <v>0</v>
      </c>
      <c r="AF59" s="314">
        <v>0</v>
      </c>
      <c r="AG59" s="314">
        <f t="shared" ref="AG59" si="166">AH59-AF59</f>
        <v>0</v>
      </c>
      <c r="AH59" s="555">
        <v>0</v>
      </c>
      <c r="AI59" s="314">
        <v>-23.3</v>
      </c>
      <c r="AJ59" s="314">
        <f>AK59-AI59</f>
        <v>-22.2</v>
      </c>
      <c r="AK59" s="555">
        <v>-45.5</v>
      </c>
      <c r="AL59" s="571">
        <v>-23.6</v>
      </c>
      <c r="AM59" s="314">
        <f>AN59-AL59</f>
        <v>-21.5</v>
      </c>
      <c r="AN59" s="555">
        <v>-45.1</v>
      </c>
      <c r="AO59" s="571">
        <v>-21.7</v>
      </c>
      <c r="AP59" s="314">
        <f>AQ59-AO59</f>
        <v>-22.3</v>
      </c>
      <c r="AQ59" s="555">
        <v>-44</v>
      </c>
      <c r="AR59" s="571">
        <v>-22.8</v>
      </c>
      <c r="AS59" s="314">
        <v>-23.066776378804214</v>
      </c>
      <c r="AT59" s="555">
        <v>-46</v>
      </c>
      <c r="AU59" s="571">
        <v>-23.9</v>
      </c>
      <c r="AV59" s="314">
        <f>[1]Interims!BO55</f>
        <v>-22.23648336604144</v>
      </c>
      <c r="AW59" s="555">
        <f>[1]Interims!BP55</f>
        <v>-45.929429081921803</v>
      </c>
      <c r="AX59" s="571">
        <f>[1]Interims!BQ55</f>
        <v>-22.649439810211078</v>
      </c>
      <c r="AY59" s="314">
        <f>[1]Interims!BR55</f>
        <v>-22.112286190183426</v>
      </c>
      <c r="AZ59" s="555">
        <f>[1]Interims!BS55</f>
        <v>-44.761726000394503</v>
      </c>
    </row>
    <row r="60" spans="2:52" s="142" customFormat="1" x14ac:dyDescent="0.3">
      <c r="B60" s="570" t="s">
        <v>125</v>
      </c>
      <c r="C60" s="570"/>
      <c r="D60" s="570"/>
      <c r="E60" s="570"/>
      <c r="F60" s="570"/>
      <c r="G60" s="570"/>
      <c r="H60" s="570"/>
      <c r="I60" s="570"/>
      <c r="J60" s="570"/>
      <c r="K60" s="570"/>
      <c r="L60" s="570"/>
      <c r="M60" s="570"/>
      <c r="N60" s="570"/>
      <c r="O60" s="570"/>
      <c r="P60" s="570"/>
      <c r="Q60" s="570"/>
      <c r="R60" s="570"/>
      <c r="S60" s="570"/>
      <c r="T60" s="314">
        <v>-7</v>
      </c>
      <c r="U60" s="314">
        <f>V60-T60</f>
        <v>-6.6999999999999993</v>
      </c>
      <c r="V60" s="555">
        <v>-13.7</v>
      </c>
      <c r="W60" s="314">
        <v>-7.6</v>
      </c>
      <c r="X60" s="314">
        <f>Y60-W60</f>
        <v>-6.6</v>
      </c>
      <c r="Y60" s="555">
        <v>-14.2</v>
      </c>
      <c r="Z60" s="314">
        <v>-7.8</v>
      </c>
      <c r="AA60" s="314">
        <f>AB60-Z60</f>
        <v>-5.0000000000000009</v>
      </c>
      <c r="AB60" s="555">
        <v>-12.8</v>
      </c>
      <c r="AC60" s="314">
        <v>-3.8</v>
      </c>
      <c r="AD60" s="314">
        <f>AE60-AC60</f>
        <v>-2.5</v>
      </c>
      <c r="AE60" s="555">
        <v>-6.3</v>
      </c>
      <c r="AF60" s="314">
        <v>-3.4</v>
      </c>
      <c r="AG60" s="314">
        <f>AH60-AF60</f>
        <v>-1.8000000000000003</v>
      </c>
      <c r="AH60" s="555">
        <v>-5.2</v>
      </c>
      <c r="AI60" s="314">
        <v>-3.1</v>
      </c>
      <c r="AJ60" s="314">
        <f>AK60-AI60</f>
        <v>-3.4</v>
      </c>
      <c r="AK60" s="555">
        <v>-6.5</v>
      </c>
      <c r="AL60" s="571">
        <v>-5.4</v>
      </c>
      <c r="AM60" s="314">
        <f>AN60-AL60</f>
        <v>-5.9</v>
      </c>
      <c r="AN60" s="555">
        <v>-11.3</v>
      </c>
      <c r="AO60" s="571">
        <v>-5</v>
      </c>
      <c r="AP60" s="314">
        <f>AQ60-AO60</f>
        <v>-5.0999999999999996</v>
      </c>
      <c r="AQ60" s="555">
        <v>-10.1</v>
      </c>
      <c r="AR60" s="571">
        <v>-5.5</v>
      </c>
      <c r="AS60" s="314">
        <v>-4.6894027330725594</v>
      </c>
      <c r="AT60" s="555">
        <v>-10</v>
      </c>
      <c r="AU60" s="571">
        <v>-5.4</v>
      </c>
      <c r="AV60" s="314">
        <f>[1]Interims!BO56</f>
        <v>-3.8328542542409902</v>
      </c>
      <c r="AW60" s="555">
        <f>[1]Interims!BP56</f>
        <v>-9.2303317628911206</v>
      </c>
      <c r="AX60" s="571">
        <f>[1]Interims!BQ56</f>
        <v>-4.6477196860444501</v>
      </c>
      <c r="AY60" s="314">
        <f>[1]Interims!BR56</f>
        <v>-3.8586011471971613</v>
      </c>
      <c r="AZ60" s="555">
        <f>[1]Interims!BS56</f>
        <v>-8.5063208332416114</v>
      </c>
    </row>
    <row r="61" spans="2:52" s="574" customFormat="1" x14ac:dyDescent="0.3">
      <c r="B61" s="625" t="s">
        <v>688</v>
      </c>
      <c r="C61" s="625"/>
      <c r="D61" s="625"/>
      <c r="E61" s="625"/>
      <c r="F61" s="625"/>
      <c r="G61" s="625"/>
      <c r="H61" s="625"/>
      <c r="I61" s="625"/>
      <c r="J61" s="625"/>
      <c r="K61" s="625"/>
      <c r="L61" s="625"/>
      <c r="M61" s="625"/>
      <c r="N61" s="625"/>
      <c r="O61" s="625"/>
      <c r="P61" s="625"/>
      <c r="Q61" s="625"/>
      <c r="R61" s="625"/>
      <c r="S61" s="625"/>
      <c r="T61" s="313">
        <f t="shared" ref="T61:AA61" si="167">T93-T46</f>
        <v>-302.39999999999998</v>
      </c>
      <c r="U61" s="313">
        <f t="shared" si="167"/>
        <v>-297.65000000000003</v>
      </c>
      <c r="V61" s="626">
        <f t="shared" si="167"/>
        <v>-600.1</v>
      </c>
      <c r="W61" s="313">
        <f t="shared" si="167"/>
        <v>-310.59999999999997</v>
      </c>
      <c r="X61" s="313">
        <f t="shared" si="167"/>
        <v>-318.7</v>
      </c>
      <c r="Y61" s="626">
        <f t="shared" si="167"/>
        <v>-629.29999999999995</v>
      </c>
      <c r="Z61" s="313">
        <f t="shared" si="167"/>
        <v>-365.4</v>
      </c>
      <c r="AA61" s="313">
        <f t="shared" si="167"/>
        <v>-377.70000000000005</v>
      </c>
      <c r="AB61" s="626">
        <f>SUM(AB56,AB58,AB60)</f>
        <v>-743.09999999999991</v>
      </c>
      <c r="AC61" s="313">
        <f>AC93-AC46</f>
        <v>-409.26999999999992</v>
      </c>
      <c r="AD61" s="313">
        <f>AD93-AD46</f>
        <v>-420.1</v>
      </c>
      <c r="AE61" s="626">
        <f>SUM(AE56,AE58,AE60)</f>
        <v>-829.40000000000009</v>
      </c>
      <c r="AF61" s="313">
        <f>AF93-AF46</f>
        <v>-443.9</v>
      </c>
      <c r="AG61" s="313">
        <f>SUM(AG56:AG60)</f>
        <v>-436.99999999999994</v>
      </c>
      <c r="AH61" s="626">
        <f>SUM(AH56,AH58,AH60)</f>
        <v>-880.9</v>
      </c>
      <c r="AI61" s="313">
        <f>AI93-AI46</f>
        <v>-453</v>
      </c>
      <c r="AJ61" s="313">
        <f t="shared" ref="AJ61" si="168">SUM(AJ56,AJ58:AJ60)</f>
        <v>-408.19999999999993</v>
      </c>
      <c r="AK61" s="626">
        <f>SUM(AK56,AK58:AK60)</f>
        <v>-861.19999999999993</v>
      </c>
      <c r="AL61" s="313">
        <f>AL93-AL46</f>
        <v>-397.7</v>
      </c>
      <c r="AM61" s="313">
        <f t="shared" ref="AM61" si="169">SUM(AM56,AM58:AM60)</f>
        <v>-425.3</v>
      </c>
      <c r="AN61" s="626">
        <f>SUM(AN56,AN58:AN60)</f>
        <v>-823</v>
      </c>
      <c r="AO61" s="313">
        <f>AO93-AO46</f>
        <v>-463.69999999999993</v>
      </c>
      <c r="AP61" s="313">
        <f t="shared" ref="AP61:AS61" si="170">SUM(AP56,AP58:AP60)</f>
        <v>-515.60000000000014</v>
      </c>
      <c r="AQ61" s="626">
        <f>SUM(AQ56,AQ58:AQ60)</f>
        <v>-979.30000000000007</v>
      </c>
      <c r="AR61" s="313">
        <f t="shared" si="170"/>
        <v>-554.9</v>
      </c>
      <c r="AS61" s="313">
        <f t="shared" si="170"/>
        <v>-542.71325999342537</v>
      </c>
      <c r="AT61" s="626">
        <f>SUM(AT56,AT58:AT60)+0.1</f>
        <v>-1097.5345674000528</v>
      </c>
      <c r="AU61" s="313">
        <v>-523.20000000000005</v>
      </c>
      <c r="AV61" s="313">
        <f>[1]Interims!BO57</f>
        <v>-485.32410616657023</v>
      </c>
      <c r="AW61" s="626">
        <f>[1]Interims!BP57</f>
        <v>-1008.5296284566243</v>
      </c>
      <c r="AX61" s="313">
        <f>[1]Interims!BQ57</f>
        <v>-470.50482450886921</v>
      </c>
      <c r="AY61" s="313">
        <f>[1]Interims!BR57</f>
        <v>-456.11090235434847</v>
      </c>
      <c r="AZ61" s="626">
        <f>[1]Interims!BS57</f>
        <v>-926.71572686321781</v>
      </c>
    </row>
    <row r="62" spans="2:52" s="30" customFormat="1" ht="14.5" thickBot="1" x14ac:dyDescent="0.35">
      <c r="B62" s="15" t="s">
        <v>691</v>
      </c>
      <c r="C62" s="28"/>
      <c r="D62" s="28"/>
      <c r="E62" s="28"/>
      <c r="F62" s="28"/>
      <c r="G62" s="28"/>
      <c r="H62" s="28"/>
      <c r="I62" s="28"/>
      <c r="J62" s="28"/>
      <c r="K62" s="28"/>
      <c r="L62" s="28"/>
      <c r="M62" s="28"/>
      <c r="N62" s="28"/>
      <c r="O62" s="28"/>
      <c r="P62" s="28"/>
      <c r="Q62" s="28"/>
      <c r="R62" s="28"/>
      <c r="S62" s="28"/>
      <c r="T62" s="29">
        <f t="shared" ref="T62:AN62" si="171">SUM(T46,T61)</f>
        <v>81.5</v>
      </c>
      <c r="U62" s="29">
        <f t="shared" si="171"/>
        <v>82.649999999999977</v>
      </c>
      <c r="V62" s="52">
        <f t="shared" si="171"/>
        <v>164.10000000000002</v>
      </c>
      <c r="W62" s="29">
        <f t="shared" si="171"/>
        <v>86.300000000000011</v>
      </c>
      <c r="X62" s="29">
        <f t="shared" si="171"/>
        <v>94.699999999999989</v>
      </c>
      <c r="Y62" s="52">
        <f t="shared" si="171"/>
        <v>181</v>
      </c>
      <c r="Z62" s="29">
        <f t="shared" si="171"/>
        <v>100.10000000000002</v>
      </c>
      <c r="AA62" s="29">
        <f t="shared" si="171"/>
        <v>111.39999999999998</v>
      </c>
      <c r="AB62" s="52">
        <f t="shared" si="171"/>
        <v>211.50000000000023</v>
      </c>
      <c r="AC62" s="29">
        <f t="shared" si="171"/>
        <v>116.53000000000003</v>
      </c>
      <c r="AD62" s="29">
        <f t="shared" si="171"/>
        <v>126.89999999999998</v>
      </c>
      <c r="AE62" s="52">
        <f t="shared" si="171"/>
        <v>243.39999999999986</v>
      </c>
      <c r="AF62" s="29">
        <f t="shared" si="171"/>
        <v>124.10000000000002</v>
      </c>
      <c r="AG62" s="29">
        <f t="shared" si="171"/>
        <v>124.7000000000001</v>
      </c>
      <c r="AH62" s="52">
        <f t="shared" si="171"/>
        <v>248.80000000000007</v>
      </c>
      <c r="AI62" s="29">
        <f t="shared" si="171"/>
        <v>100.10000000000002</v>
      </c>
      <c r="AJ62" s="143">
        <f t="shared" si="171"/>
        <v>34.900000000000091</v>
      </c>
      <c r="AK62" s="52">
        <f t="shared" si="171"/>
        <v>135.00000000000011</v>
      </c>
      <c r="AL62" s="29">
        <f t="shared" si="171"/>
        <v>25.100000000000023</v>
      </c>
      <c r="AM62" s="143">
        <f t="shared" ref="AM62:AO62" si="172">SUM(AM46,AM61)</f>
        <v>70</v>
      </c>
      <c r="AN62" s="52">
        <f t="shared" si="171"/>
        <v>95.100000000000023</v>
      </c>
      <c r="AO62" s="143">
        <f t="shared" si="172"/>
        <v>101.60000000000002</v>
      </c>
      <c r="AP62" s="143">
        <f t="shared" ref="AP62:AQ62" si="173">SUM(AP46,AP61)</f>
        <v>108.49999999999989</v>
      </c>
      <c r="AQ62" s="52">
        <f t="shared" si="173"/>
        <v>210.10000000000002</v>
      </c>
      <c r="AR62" s="143">
        <f>AR46+AR61</f>
        <v>97</v>
      </c>
      <c r="AS62" s="143">
        <f>AS46+AS61</f>
        <v>99.955155918977653</v>
      </c>
      <c r="AT62" s="52">
        <f>AT46+AT61</f>
        <v>197.03384851235023</v>
      </c>
      <c r="AU62" s="143">
        <f>AU46+AU61</f>
        <v>60.099999999999909</v>
      </c>
      <c r="AV62" s="143">
        <f>[1]Interims!BO63</f>
        <v>44.95826216463022</v>
      </c>
      <c r="AW62" s="52">
        <f>[1]Interims!BP63</f>
        <v>105.07826927737115</v>
      </c>
      <c r="AX62" s="143">
        <f>[1]Interims!BQ63</f>
        <v>25.457472957052801</v>
      </c>
      <c r="AY62" s="143">
        <f>[1]Interims!BR63</f>
        <v>20.191647714993781</v>
      </c>
      <c r="AZ62" s="52">
        <f>[1]Interims!BS63</f>
        <v>45.649120672046578</v>
      </c>
    </row>
    <row r="63" spans="2:52" s="225" customFormat="1" ht="14.5" thickTop="1" x14ac:dyDescent="0.3">
      <c r="T63" s="312"/>
      <c r="U63" s="312"/>
      <c r="V63" s="566"/>
      <c r="W63" s="312"/>
      <c r="X63" s="312"/>
      <c r="Y63" s="566"/>
      <c r="Z63" s="312"/>
      <c r="AA63" s="312"/>
      <c r="AB63" s="566"/>
      <c r="AC63" s="312"/>
      <c r="AD63" s="312"/>
      <c r="AE63" s="566"/>
      <c r="AF63" s="312"/>
      <c r="AG63" s="312"/>
      <c r="AH63" s="566"/>
      <c r="AI63" s="312"/>
      <c r="AJ63" s="568"/>
      <c r="AK63" s="566"/>
      <c r="AL63" s="568"/>
      <c r="AM63" s="568"/>
      <c r="AN63" s="566"/>
      <c r="AO63" s="568"/>
      <c r="AP63" s="568"/>
      <c r="AQ63" s="566"/>
      <c r="AR63" s="568"/>
      <c r="AS63" s="568"/>
      <c r="AT63" s="566"/>
      <c r="AU63" s="568"/>
      <c r="AV63" s="568"/>
      <c r="AW63" s="566"/>
      <c r="AX63" s="568"/>
      <c r="AY63" s="568"/>
      <c r="AZ63" s="566"/>
    </row>
    <row r="64" spans="2:52" s="574" customFormat="1" ht="14" customHeight="1" outlineLevel="1" x14ac:dyDescent="0.3">
      <c r="B64" s="625" t="s">
        <v>738</v>
      </c>
      <c r="C64" s="625"/>
      <c r="D64" s="625"/>
      <c r="E64" s="625"/>
      <c r="F64" s="625"/>
      <c r="G64" s="625"/>
      <c r="H64" s="625"/>
      <c r="I64" s="625"/>
      <c r="J64" s="625"/>
      <c r="K64" s="625"/>
      <c r="L64" s="625"/>
      <c r="M64" s="625"/>
      <c r="N64" s="625"/>
      <c r="O64" s="625"/>
      <c r="P64" s="625"/>
      <c r="Q64" s="625"/>
      <c r="R64" s="625"/>
      <c r="S64" s="625"/>
      <c r="T64" s="313">
        <f t="shared" ref="T64:AK64" si="174">SUM(T32,T56)</f>
        <v>92.899999999999977</v>
      </c>
      <c r="U64" s="313">
        <f t="shared" si="174"/>
        <v>93.649999999999977</v>
      </c>
      <c r="V64" s="626">
        <f t="shared" si="174"/>
        <v>186.50000000000011</v>
      </c>
      <c r="W64" s="313">
        <f t="shared" si="174"/>
        <v>97.800000000000011</v>
      </c>
      <c r="X64" s="313">
        <f t="shared" si="174"/>
        <v>105.10000000000002</v>
      </c>
      <c r="Y64" s="626">
        <f t="shared" si="174"/>
        <v>202.90000000000009</v>
      </c>
      <c r="Z64" s="313">
        <f t="shared" si="174"/>
        <v>112.40000000000003</v>
      </c>
      <c r="AA64" s="313">
        <f t="shared" si="174"/>
        <v>120.79999999999995</v>
      </c>
      <c r="AB64" s="626">
        <f t="shared" si="174"/>
        <v>233.20000000000016</v>
      </c>
      <c r="AC64" s="313">
        <f t="shared" si="174"/>
        <v>125.13000000000005</v>
      </c>
      <c r="AD64" s="313">
        <f t="shared" si="174"/>
        <v>133.79999999999995</v>
      </c>
      <c r="AE64" s="626">
        <f t="shared" si="174"/>
        <v>258.89999999999986</v>
      </c>
      <c r="AF64" s="313">
        <f t="shared" si="174"/>
        <v>132.60000000000002</v>
      </c>
      <c r="AG64" s="313">
        <f t="shared" si="174"/>
        <v>131.40000000000009</v>
      </c>
      <c r="AH64" s="626">
        <f t="shared" si="174"/>
        <v>264.00000000000011</v>
      </c>
      <c r="AI64" s="313">
        <f t="shared" si="174"/>
        <v>132.20000000000005</v>
      </c>
      <c r="AJ64" s="313">
        <f t="shared" si="174"/>
        <v>65.700000000000045</v>
      </c>
      <c r="AK64" s="626">
        <f t="shared" si="174"/>
        <v>197.90000000000009</v>
      </c>
      <c r="AL64" s="313">
        <f t="shared" ref="AL64:AM64" si="175">SUM(AL32,AL56)</f>
        <v>59.600000000000023</v>
      </c>
      <c r="AM64" s="313">
        <f t="shared" si="175"/>
        <v>103.5</v>
      </c>
      <c r="AN64" s="626">
        <f t="shared" ref="AN64:AR64" si="176">SUM(AN32,AN56)</f>
        <v>163.10000000000002</v>
      </c>
      <c r="AO64" s="313">
        <f t="shared" si="176"/>
        <v>133.30000000000001</v>
      </c>
      <c r="AP64" s="313">
        <f t="shared" si="176"/>
        <v>140.89999999999992</v>
      </c>
      <c r="AQ64" s="626">
        <f t="shared" ref="AQ64" si="177">SUM(AQ32,AQ56)</f>
        <v>274.20000000000005</v>
      </c>
      <c r="AR64" s="313">
        <f t="shared" si="176"/>
        <v>130.69999999999993</v>
      </c>
      <c r="AS64" s="313">
        <f t="shared" ref="AS64:AU64" si="178">SUM(AS32,AS56)</f>
        <v>133.23095263403764</v>
      </c>
      <c r="AT64" s="626">
        <f t="shared" si="178"/>
        <v>263.86841591240295</v>
      </c>
      <c r="AU64" s="313">
        <f t="shared" si="178"/>
        <v>94.899999999999864</v>
      </c>
      <c r="AV64" s="313">
        <f t="shared" ref="AV64" si="179">SUM(AV32,AV56)</f>
        <v>76.556202718761767</v>
      </c>
      <c r="AW64" s="626">
        <f t="shared" ref="AW64:AZ64" si="180">SUM(AW32,AW56)</f>
        <v>171.25631463686091</v>
      </c>
      <c r="AX64" s="313">
        <f t="shared" si="180"/>
        <v>57.557466067652626</v>
      </c>
      <c r="AY64" s="313">
        <f t="shared" si="180"/>
        <v>50.869904566333901</v>
      </c>
      <c r="AZ64" s="626">
        <f t="shared" si="180"/>
        <v>108.42737063398658</v>
      </c>
    </row>
    <row r="65" spans="2:52" s="574" customFormat="1" ht="14" customHeight="1" outlineLevel="1" x14ac:dyDescent="0.3">
      <c r="B65" s="625" t="s">
        <v>739</v>
      </c>
      <c r="C65" s="625"/>
      <c r="D65" s="625"/>
      <c r="E65" s="625"/>
      <c r="F65" s="625"/>
      <c r="G65" s="625"/>
      <c r="H65" s="625"/>
      <c r="I65" s="625"/>
      <c r="J65" s="625"/>
      <c r="K65" s="625"/>
      <c r="L65" s="625"/>
      <c r="M65" s="625"/>
      <c r="N65" s="625"/>
      <c r="O65" s="625"/>
      <c r="P65" s="625"/>
      <c r="Q65" s="625"/>
      <c r="R65" s="625"/>
      <c r="S65" s="625"/>
      <c r="T65" s="313">
        <f t="shared" ref="T65:AK65" si="181">SUM(T64,T58,T59)</f>
        <v>88.499999999999972</v>
      </c>
      <c r="U65" s="313">
        <f t="shared" si="181"/>
        <v>89.34999999999998</v>
      </c>
      <c r="V65" s="626">
        <f t="shared" si="181"/>
        <v>177.80000000000013</v>
      </c>
      <c r="W65" s="313">
        <f t="shared" si="181"/>
        <v>93.9</v>
      </c>
      <c r="X65" s="313">
        <f t="shared" si="181"/>
        <v>101.30000000000003</v>
      </c>
      <c r="Y65" s="626">
        <f t="shared" si="181"/>
        <v>195.2000000000001</v>
      </c>
      <c r="Z65" s="313">
        <f t="shared" si="181"/>
        <v>107.90000000000003</v>
      </c>
      <c r="AA65" s="313">
        <f t="shared" si="181"/>
        <v>116.39999999999995</v>
      </c>
      <c r="AB65" s="626">
        <f t="shared" si="181"/>
        <v>224.30000000000015</v>
      </c>
      <c r="AC65" s="313">
        <f t="shared" si="181"/>
        <v>120.33000000000006</v>
      </c>
      <c r="AD65" s="313">
        <f t="shared" si="181"/>
        <v>129.39999999999995</v>
      </c>
      <c r="AE65" s="626">
        <f t="shared" si="181"/>
        <v>249.69999999999987</v>
      </c>
      <c r="AF65" s="313">
        <f t="shared" si="181"/>
        <v>127.50000000000003</v>
      </c>
      <c r="AG65" s="313">
        <f t="shared" si="181"/>
        <v>126.50000000000009</v>
      </c>
      <c r="AH65" s="626">
        <f t="shared" si="181"/>
        <v>254.00000000000011</v>
      </c>
      <c r="AI65" s="313">
        <f t="shared" si="181"/>
        <v>103.20000000000005</v>
      </c>
      <c r="AJ65" s="313">
        <f t="shared" si="181"/>
        <v>38.30000000000004</v>
      </c>
      <c r="AK65" s="626">
        <f t="shared" si="181"/>
        <v>141.50000000000009</v>
      </c>
      <c r="AL65" s="313">
        <f t="shared" ref="AL65:AM65" si="182">SUM(AL64,AL58,AL59)</f>
        <v>30.500000000000021</v>
      </c>
      <c r="AM65" s="313">
        <f t="shared" si="182"/>
        <v>75.900000000000006</v>
      </c>
      <c r="AN65" s="626">
        <f t="shared" ref="AN65:AR65" si="183">SUM(AN64,AN58,AN59)</f>
        <v>106.40000000000003</v>
      </c>
      <c r="AO65" s="313">
        <f t="shared" si="183"/>
        <v>106.60000000000001</v>
      </c>
      <c r="AP65" s="313">
        <f t="shared" si="183"/>
        <v>113.59999999999992</v>
      </c>
      <c r="AQ65" s="626">
        <f t="shared" ref="AQ65" si="184">SUM(AQ64,AQ58,AQ59)</f>
        <v>220.20000000000005</v>
      </c>
      <c r="AR65" s="313">
        <f t="shared" si="183"/>
        <v>102.49999999999993</v>
      </c>
      <c r="AS65" s="313">
        <f t="shared" ref="AS65:AU65" si="185">SUM(AS64,AS58,AS59)</f>
        <v>104.64455865205022</v>
      </c>
      <c r="AT65" s="626">
        <f t="shared" si="185"/>
        <v>206.93384851235035</v>
      </c>
      <c r="AU65" s="313">
        <f t="shared" si="185"/>
        <v>65.499999999999858</v>
      </c>
      <c r="AV65" s="313">
        <f t="shared" ref="AV65" si="186">SUM(AV64,AV58,AV59)</f>
        <v>48.791116418871255</v>
      </c>
      <c r="AW65" s="626">
        <f t="shared" ref="AW65:AZ65" si="187">SUM(AW64,AW58,AW59)</f>
        <v>114.30860104026232</v>
      </c>
      <c r="AX65" s="313">
        <f t="shared" si="187"/>
        <v>30.105192643097226</v>
      </c>
      <c r="AY65" s="313">
        <f t="shared" si="187"/>
        <v>24.050248862190898</v>
      </c>
      <c r="AZ65" s="626">
        <f t="shared" si="187"/>
        <v>54.155441505288181</v>
      </c>
    </row>
    <row r="66" spans="2:52" s="152" customFormat="1" x14ac:dyDescent="0.3">
      <c r="T66" s="315">
        <f t="shared" ref="T66:AH66" si="188">T93</f>
        <v>81.5</v>
      </c>
      <c r="U66" s="315">
        <f t="shared" si="188"/>
        <v>82.649999999999991</v>
      </c>
      <c r="V66" s="627">
        <f t="shared" si="188"/>
        <v>164.1</v>
      </c>
      <c r="W66" s="315">
        <f t="shared" si="188"/>
        <v>86.3</v>
      </c>
      <c r="X66" s="315">
        <f t="shared" si="188"/>
        <v>94.7</v>
      </c>
      <c r="Y66" s="627">
        <f t="shared" si="188"/>
        <v>181</v>
      </c>
      <c r="Z66" s="315">
        <f t="shared" si="188"/>
        <v>100.1</v>
      </c>
      <c r="AA66" s="315">
        <f t="shared" si="188"/>
        <v>111.39999999999999</v>
      </c>
      <c r="AB66" s="627">
        <f t="shared" si="188"/>
        <v>211.5</v>
      </c>
      <c r="AC66" s="315">
        <f t="shared" si="188"/>
        <v>116.53000000000002</v>
      </c>
      <c r="AD66" s="315">
        <f t="shared" si="188"/>
        <v>126.89999999999998</v>
      </c>
      <c r="AE66" s="627">
        <f t="shared" si="188"/>
        <v>243.39999999999998</v>
      </c>
      <c r="AF66" s="315">
        <f t="shared" si="188"/>
        <v>124.10000000000001</v>
      </c>
      <c r="AG66" s="315">
        <f t="shared" si="188"/>
        <v>124.70000000000002</v>
      </c>
      <c r="AH66" s="627">
        <f t="shared" si="188"/>
        <v>248.8</v>
      </c>
      <c r="AI66" s="315"/>
      <c r="AJ66" s="628"/>
      <c r="AK66" s="627"/>
      <c r="AL66" s="628"/>
      <c r="AM66" s="628"/>
      <c r="AN66" s="627"/>
      <c r="AO66" s="628"/>
      <c r="AP66" s="628"/>
      <c r="AQ66" s="627"/>
      <c r="AR66" s="628"/>
      <c r="AS66" s="628"/>
      <c r="AT66" s="627"/>
      <c r="AU66" s="628"/>
      <c r="AV66" s="628"/>
      <c r="AW66" s="627"/>
      <c r="AX66" s="628"/>
      <c r="AY66" s="628"/>
      <c r="AZ66" s="627"/>
    </row>
    <row r="67" spans="2:52" s="225" customFormat="1" x14ac:dyDescent="0.3">
      <c r="B67" s="569" t="s">
        <v>689</v>
      </c>
      <c r="C67" s="569"/>
      <c r="D67" s="569"/>
      <c r="E67" s="569"/>
      <c r="F67" s="569"/>
      <c r="G67" s="569"/>
      <c r="H67" s="569"/>
      <c r="I67" s="569"/>
      <c r="J67" s="569"/>
      <c r="K67" s="569"/>
      <c r="L67" s="569"/>
      <c r="M67" s="569"/>
      <c r="N67" s="569"/>
      <c r="O67" s="569"/>
      <c r="P67" s="569"/>
      <c r="Q67" s="569"/>
      <c r="R67" s="569"/>
      <c r="S67" s="569"/>
      <c r="T67" s="312"/>
      <c r="U67" s="312"/>
      <c r="V67" s="566"/>
      <c r="W67" s="312"/>
      <c r="X67" s="312"/>
      <c r="Y67" s="566"/>
      <c r="Z67" s="312"/>
      <c r="AA67" s="312"/>
      <c r="AB67" s="566"/>
      <c r="AC67" s="312"/>
      <c r="AD67" s="312"/>
      <c r="AE67" s="566"/>
      <c r="AF67" s="312"/>
      <c r="AG67" s="312"/>
      <c r="AH67" s="566"/>
      <c r="AI67" s="312"/>
      <c r="AJ67" s="568"/>
      <c r="AK67" s="566"/>
      <c r="AL67" s="568"/>
      <c r="AM67" s="568"/>
      <c r="AN67" s="566"/>
      <c r="AO67" s="568"/>
      <c r="AP67" s="568"/>
      <c r="AQ67" s="566"/>
      <c r="AR67" s="568"/>
      <c r="AS67" s="568"/>
      <c r="AT67" s="566"/>
      <c r="AU67" s="568"/>
      <c r="AV67" s="568"/>
      <c r="AW67" s="566"/>
      <c r="AX67" s="568"/>
      <c r="AY67" s="568"/>
      <c r="AZ67" s="566"/>
    </row>
    <row r="68" spans="2:52" s="142" customFormat="1" x14ac:dyDescent="0.3">
      <c r="B68" s="570" t="s">
        <v>693</v>
      </c>
      <c r="C68" s="570"/>
      <c r="D68" s="570"/>
      <c r="E68" s="570"/>
      <c r="F68" s="570"/>
      <c r="G68" s="570"/>
      <c r="H68" s="570"/>
      <c r="I68" s="570"/>
      <c r="J68" s="570"/>
      <c r="K68" s="570"/>
      <c r="L68" s="570"/>
      <c r="M68" s="570"/>
      <c r="N68" s="570"/>
      <c r="O68" s="570"/>
      <c r="P68" s="570"/>
      <c r="Q68" s="570"/>
      <c r="R68" s="570"/>
      <c r="S68" s="570"/>
      <c r="T68" s="314">
        <v>0</v>
      </c>
      <c r="U68" s="571">
        <f>V68-T68</f>
        <v>0</v>
      </c>
      <c r="V68" s="555">
        <v>0</v>
      </c>
      <c r="W68" s="314">
        <v>0</v>
      </c>
      <c r="X68" s="571">
        <f>Y68-W68</f>
        <v>0</v>
      </c>
      <c r="Y68" s="555">
        <v>0</v>
      </c>
      <c r="Z68" s="314">
        <v>0</v>
      </c>
      <c r="AA68" s="571">
        <f>AB68-Z68</f>
        <v>0</v>
      </c>
      <c r="AB68" s="555">
        <v>0</v>
      </c>
      <c r="AC68" s="314">
        <v>0</v>
      </c>
      <c r="AD68" s="571">
        <f>AE68-AC68</f>
        <v>0</v>
      </c>
      <c r="AE68" s="555">
        <v>0</v>
      </c>
      <c r="AF68" s="314">
        <v>0</v>
      </c>
      <c r="AG68" s="571">
        <f>AH68-AF68</f>
        <v>-14.8</v>
      </c>
      <c r="AH68" s="555">
        <v>-14.8</v>
      </c>
      <c r="AI68" s="314">
        <v>0</v>
      </c>
      <c r="AJ68" s="571">
        <f>AK68-AI68</f>
        <v>-17.600000000000001</v>
      </c>
      <c r="AK68" s="555">
        <v>-17.600000000000001</v>
      </c>
      <c r="AL68" s="314">
        <v>0</v>
      </c>
      <c r="AM68" s="571">
        <f>AN68-AL68</f>
        <v>0</v>
      </c>
      <c r="AN68" s="555">
        <v>0</v>
      </c>
      <c r="AO68" s="571">
        <v>0</v>
      </c>
      <c r="AP68" s="571">
        <f>AQ68-AO68</f>
        <v>0</v>
      </c>
      <c r="AQ68" s="555">
        <v>0</v>
      </c>
      <c r="AR68" s="571">
        <v>0</v>
      </c>
      <c r="AS68" s="571">
        <v>0</v>
      </c>
      <c r="AT68" s="555">
        <v>0</v>
      </c>
      <c r="AU68" s="571">
        <v>-12.6</v>
      </c>
      <c r="AV68" s="571">
        <f>AW68-AU68</f>
        <v>-29.6</v>
      </c>
      <c r="AW68" s="555">
        <v>-42.2</v>
      </c>
      <c r="AX68" s="571"/>
      <c r="AY68" s="571"/>
      <c r="AZ68" s="555">
        <v>-30.7</v>
      </c>
    </row>
    <row r="69" spans="2:52" s="142" customFormat="1" x14ac:dyDescent="0.3">
      <c r="B69" s="570" t="s">
        <v>659</v>
      </c>
      <c r="C69" s="570"/>
      <c r="D69" s="570"/>
      <c r="E69" s="570"/>
      <c r="F69" s="570"/>
      <c r="G69" s="570"/>
      <c r="H69" s="570"/>
      <c r="I69" s="570"/>
      <c r="J69" s="570"/>
      <c r="K69" s="570"/>
      <c r="L69" s="570"/>
      <c r="M69" s="570"/>
      <c r="N69" s="570"/>
      <c r="O69" s="570"/>
      <c r="P69" s="570"/>
      <c r="Q69" s="570"/>
      <c r="R69" s="570"/>
      <c r="S69" s="570"/>
      <c r="T69" s="314">
        <v>0</v>
      </c>
      <c r="U69" s="571">
        <f>V69-T69</f>
        <v>0</v>
      </c>
      <c r="V69" s="555">
        <v>0</v>
      </c>
      <c r="W69" s="314">
        <v>0</v>
      </c>
      <c r="X69" s="571">
        <f>Y69-W69</f>
        <v>0</v>
      </c>
      <c r="Y69" s="555">
        <v>0</v>
      </c>
      <c r="Z69" s="314">
        <v>0</v>
      </c>
      <c r="AA69" s="571">
        <f>AB69-Z69</f>
        <v>0</v>
      </c>
      <c r="AB69" s="555">
        <v>0</v>
      </c>
      <c r="AC69" s="314">
        <v>0</v>
      </c>
      <c r="AD69" s="571">
        <f>AE69-AC69</f>
        <v>0</v>
      </c>
      <c r="AE69" s="555">
        <v>0</v>
      </c>
      <c r="AF69" s="314">
        <v>0</v>
      </c>
      <c r="AG69" s="571">
        <f>AH69-AF69</f>
        <v>0</v>
      </c>
      <c r="AH69" s="555">
        <v>0</v>
      </c>
      <c r="AI69" s="314">
        <v>0</v>
      </c>
      <c r="AJ69" s="571">
        <f>AK69-AI69</f>
        <v>-20.3</v>
      </c>
      <c r="AK69" s="555">
        <v>-20.3</v>
      </c>
      <c r="AL69" s="314">
        <v>0</v>
      </c>
      <c r="AM69" s="571">
        <f>AN69-AL69</f>
        <v>0</v>
      </c>
      <c r="AN69" s="555">
        <v>0</v>
      </c>
      <c r="AO69" s="571">
        <v>0</v>
      </c>
      <c r="AP69" s="571">
        <f>AQ69-AO69</f>
        <v>0</v>
      </c>
      <c r="AQ69" s="555">
        <v>0</v>
      </c>
      <c r="AR69" s="571">
        <v>0</v>
      </c>
      <c r="AS69" s="571">
        <v>0</v>
      </c>
      <c r="AT69" s="555">
        <v>0</v>
      </c>
      <c r="AU69" s="571">
        <v>-15.3</v>
      </c>
      <c r="AV69" s="571">
        <f>AW69-AU69</f>
        <v>-22.499999999999996</v>
      </c>
      <c r="AW69" s="555">
        <v>-37.799999999999997</v>
      </c>
      <c r="AX69" s="571"/>
      <c r="AY69" s="571"/>
      <c r="AZ69" s="555">
        <v>0</v>
      </c>
    </row>
    <row r="70" spans="2:52" s="142" customFormat="1" x14ac:dyDescent="0.3">
      <c r="B70" s="621" t="s">
        <v>694</v>
      </c>
      <c r="C70" s="621"/>
      <c r="D70" s="621"/>
      <c r="E70" s="621"/>
      <c r="F70" s="621"/>
      <c r="G70" s="621"/>
      <c r="H70" s="621"/>
      <c r="I70" s="621"/>
      <c r="J70" s="621"/>
      <c r="K70" s="621"/>
      <c r="L70" s="621"/>
      <c r="M70" s="621"/>
      <c r="N70" s="621"/>
      <c r="O70" s="621"/>
      <c r="P70" s="621"/>
      <c r="Q70" s="621"/>
      <c r="R70" s="621"/>
      <c r="S70" s="621"/>
      <c r="T70" s="319">
        <v>0</v>
      </c>
      <c r="U70" s="623">
        <f>V70-T70</f>
        <v>0</v>
      </c>
      <c r="V70" s="622">
        <v>0</v>
      </c>
      <c r="W70" s="319">
        <v>0</v>
      </c>
      <c r="X70" s="623">
        <f>Y70-W70</f>
        <v>0</v>
      </c>
      <c r="Y70" s="622">
        <v>0</v>
      </c>
      <c r="Z70" s="319">
        <v>0</v>
      </c>
      <c r="AA70" s="623">
        <f>AB70-Z70</f>
        <v>0</v>
      </c>
      <c r="AB70" s="622">
        <v>0</v>
      </c>
      <c r="AC70" s="319">
        <v>0</v>
      </c>
      <c r="AD70" s="623">
        <f>AE70-AC70</f>
        <v>0</v>
      </c>
      <c r="AE70" s="622">
        <v>0</v>
      </c>
      <c r="AF70" s="319">
        <v>0</v>
      </c>
      <c r="AG70" s="623">
        <f>AH70-AF70</f>
        <v>-0.3</v>
      </c>
      <c r="AH70" s="622">
        <v>-0.3</v>
      </c>
      <c r="AI70" s="319">
        <v>0</v>
      </c>
      <c r="AJ70" s="623">
        <f>AK70-AI70</f>
        <v>-2</v>
      </c>
      <c r="AK70" s="622">
        <v>-2</v>
      </c>
      <c r="AL70" s="319">
        <v>0</v>
      </c>
      <c r="AM70" s="623">
        <f>AN70-AL70</f>
        <v>0</v>
      </c>
      <c r="AN70" s="622">
        <v>0</v>
      </c>
      <c r="AO70" s="623">
        <v>0</v>
      </c>
      <c r="AP70" s="623">
        <f>AQ70-AO70</f>
        <v>0</v>
      </c>
      <c r="AQ70" s="622">
        <v>0</v>
      </c>
      <c r="AR70" s="623">
        <v>0</v>
      </c>
      <c r="AS70" s="623">
        <v>0</v>
      </c>
      <c r="AT70" s="622">
        <v>0</v>
      </c>
      <c r="AU70" s="623">
        <v>0</v>
      </c>
      <c r="AV70" s="623">
        <v>0</v>
      </c>
      <c r="AW70" s="622">
        <v>0</v>
      </c>
      <c r="AX70" s="623">
        <v>0</v>
      </c>
      <c r="AY70" s="623">
        <v>0</v>
      </c>
      <c r="AZ70" s="622">
        <v>0</v>
      </c>
    </row>
    <row r="71" spans="2:52" s="142" customFormat="1" x14ac:dyDescent="0.3">
      <c r="B71" s="142" t="s">
        <v>689</v>
      </c>
      <c r="C71" s="570"/>
      <c r="D71" s="570"/>
      <c r="E71" s="570"/>
      <c r="F71" s="570"/>
      <c r="G71" s="570"/>
      <c r="H71" s="570"/>
      <c r="I71" s="570"/>
      <c r="J71" s="570"/>
      <c r="K71" s="570"/>
      <c r="L71" s="570"/>
      <c r="M71" s="570"/>
      <c r="N71" s="570"/>
      <c r="O71" s="570"/>
      <c r="P71" s="570"/>
      <c r="Q71" s="570"/>
      <c r="R71" s="570"/>
      <c r="S71" s="570"/>
      <c r="T71" s="314">
        <f t="shared" ref="T71:AK71" si="189">SUM(T68:T70)</f>
        <v>0</v>
      </c>
      <c r="U71" s="571">
        <f t="shared" si="189"/>
        <v>0</v>
      </c>
      <c r="V71" s="555">
        <f t="shared" si="189"/>
        <v>0</v>
      </c>
      <c r="W71" s="314">
        <f t="shared" si="189"/>
        <v>0</v>
      </c>
      <c r="X71" s="571">
        <f t="shared" si="189"/>
        <v>0</v>
      </c>
      <c r="Y71" s="555">
        <f t="shared" si="189"/>
        <v>0</v>
      </c>
      <c r="Z71" s="314">
        <f t="shared" si="189"/>
        <v>0</v>
      </c>
      <c r="AA71" s="571">
        <f t="shared" si="189"/>
        <v>0</v>
      </c>
      <c r="AB71" s="555">
        <f t="shared" si="189"/>
        <v>0</v>
      </c>
      <c r="AC71" s="314">
        <f t="shared" si="189"/>
        <v>0</v>
      </c>
      <c r="AD71" s="571">
        <f t="shared" si="189"/>
        <v>0</v>
      </c>
      <c r="AE71" s="555">
        <f t="shared" si="189"/>
        <v>0</v>
      </c>
      <c r="AF71" s="314">
        <f t="shared" si="189"/>
        <v>0</v>
      </c>
      <c r="AG71" s="571">
        <f t="shared" si="189"/>
        <v>-15.100000000000001</v>
      </c>
      <c r="AH71" s="555">
        <f t="shared" si="189"/>
        <v>-15.100000000000001</v>
      </c>
      <c r="AI71" s="314">
        <f t="shared" si="189"/>
        <v>0</v>
      </c>
      <c r="AJ71" s="571">
        <f t="shared" si="189"/>
        <v>-39.900000000000006</v>
      </c>
      <c r="AK71" s="555">
        <f t="shared" si="189"/>
        <v>-39.900000000000006</v>
      </c>
      <c r="AL71" s="314">
        <f t="shared" ref="AL71" si="190">SUM(AL68:AL70)</f>
        <v>0</v>
      </c>
      <c r="AM71" s="571">
        <f t="shared" ref="AM71" si="191">SUM(AM68:AM70)</f>
        <v>0</v>
      </c>
      <c r="AN71" s="555">
        <f t="shared" ref="AN71:AR71" si="192">SUM(AN68:AN70)</f>
        <v>0</v>
      </c>
      <c r="AO71" s="314">
        <f t="shared" si="192"/>
        <v>0</v>
      </c>
      <c r="AP71" s="571">
        <f t="shared" si="192"/>
        <v>0</v>
      </c>
      <c r="AQ71" s="555">
        <f t="shared" ref="AQ71" si="193">SUM(AQ68:AQ70)</f>
        <v>0</v>
      </c>
      <c r="AR71" s="314">
        <f t="shared" si="192"/>
        <v>0</v>
      </c>
      <c r="AS71" s="571">
        <f t="shared" ref="AS71:AT71" si="194">SUM(AS68:AS70)</f>
        <v>0</v>
      </c>
      <c r="AT71" s="555">
        <f t="shared" si="194"/>
        <v>0</v>
      </c>
      <c r="AU71" s="314">
        <v>-27.9</v>
      </c>
      <c r="AV71" s="571">
        <f>[1]Interims!BO74</f>
        <v>-52.099999999999994</v>
      </c>
      <c r="AW71" s="555">
        <v>80</v>
      </c>
      <c r="AX71" s="314">
        <f>[1]Interims!BQ74</f>
        <v>-9.9</v>
      </c>
      <c r="AY71" s="571">
        <f>[1]Interims!BR74</f>
        <v>-20.800000000000004</v>
      </c>
      <c r="AZ71" s="555">
        <v>-30.7</v>
      </c>
    </row>
    <row r="72" spans="2:52" s="142" customFormat="1" x14ac:dyDescent="0.3">
      <c r="C72" s="570"/>
      <c r="D72" s="570"/>
      <c r="E72" s="570"/>
      <c r="F72" s="570"/>
      <c r="G72" s="570"/>
      <c r="H72" s="570"/>
      <c r="I72" s="570"/>
      <c r="J72" s="570"/>
      <c r="K72" s="570"/>
      <c r="L72" s="570"/>
      <c r="M72" s="570"/>
      <c r="N72" s="570"/>
      <c r="O72" s="570"/>
      <c r="P72" s="570"/>
      <c r="Q72" s="570"/>
      <c r="R72" s="570"/>
      <c r="S72" s="570"/>
      <c r="T72" s="314"/>
      <c r="U72" s="314"/>
      <c r="V72" s="555"/>
      <c r="W72" s="314"/>
      <c r="X72" s="314"/>
      <c r="Y72" s="555"/>
      <c r="Z72" s="314"/>
      <c r="AA72" s="314"/>
      <c r="AB72" s="555"/>
      <c r="AC72" s="314"/>
      <c r="AD72" s="314"/>
      <c r="AE72" s="555"/>
      <c r="AF72" s="314"/>
      <c r="AG72" s="314"/>
      <c r="AH72" s="555"/>
      <c r="AI72" s="314"/>
      <c r="AJ72" s="571"/>
      <c r="AK72" s="555"/>
      <c r="AL72" s="314"/>
      <c r="AM72" s="571"/>
      <c r="AN72" s="555"/>
      <c r="AO72" s="571"/>
      <c r="AP72" s="571"/>
      <c r="AQ72" s="555"/>
      <c r="AR72" s="571"/>
      <c r="AS72" s="571"/>
      <c r="AT72" s="555"/>
      <c r="AU72" s="571"/>
      <c r="AV72" s="571"/>
      <c r="AW72" s="555"/>
      <c r="AX72" s="571"/>
      <c r="AY72" s="571"/>
      <c r="AZ72" s="555"/>
    </row>
    <row r="73" spans="2:52" s="142" customFormat="1" x14ac:dyDescent="0.3">
      <c r="B73" s="574" t="s">
        <v>692</v>
      </c>
      <c r="C73" s="570"/>
      <c r="D73" s="570"/>
      <c r="E73" s="570"/>
      <c r="F73" s="570"/>
      <c r="G73" s="570"/>
      <c r="H73" s="570"/>
      <c r="I73" s="570"/>
      <c r="J73" s="570"/>
      <c r="K73" s="570"/>
      <c r="L73" s="570"/>
      <c r="M73" s="570"/>
      <c r="N73" s="570"/>
      <c r="O73" s="570"/>
      <c r="P73" s="570"/>
      <c r="Q73" s="570"/>
      <c r="R73" s="570"/>
      <c r="S73" s="570"/>
      <c r="T73" s="314">
        <f t="shared" ref="T73:U73" si="195">SUM(T61,T71)</f>
        <v>-302.39999999999998</v>
      </c>
      <c r="U73" s="314">
        <f t="shared" si="195"/>
        <v>-297.65000000000003</v>
      </c>
      <c r="V73" s="555">
        <f>SUM(V61,V71)</f>
        <v>-600.1</v>
      </c>
      <c r="W73" s="314">
        <f t="shared" ref="W73:AJ73" si="196">SUM(W61,W71)</f>
        <v>-310.59999999999997</v>
      </c>
      <c r="X73" s="314">
        <f t="shared" si="196"/>
        <v>-318.7</v>
      </c>
      <c r="Y73" s="555">
        <f t="shared" si="196"/>
        <v>-629.29999999999995</v>
      </c>
      <c r="Z73" s="314">
        <f t="shared" si="196"/>
        <v>-365.4</v>
      </c>
      <c r="AA73" s="314">
        <f t="shared" si="196"/>
        <v>-377.70000000000005</v>
      </c>
      <c r="AB73" s="555">
        <f t="shared" si="196"/>
        <v>-743.09999999999991</v>
      </c>
      <c r="AC73" s="314">
        <f t="shared" si="196"/>
        <v>-409.26999999999992</v>
      </c>
      <c r="AD73" s="314">
        <f t="shared" si="196"/>
        <v>-420.1</v>
      </c>
      <c r="AE73" s="555">
        <f t="shared" si="196"/>
        <v>-829.40000000000009</v>
      </c>
      <c r="AF73" s="314">
        <f t="shared" si="196"/>
        <v>-443.9</v>
      </c>
      <c r="AG73" s="314">
        <f t="shared" si="196"/>
        <v>-452.09999999999997</v>
      </c>
      <c r="AH73" s="555">
        <f t="shared" si="196"/>
        <v>-896</v>
      </c>
      <c r="AI73" s="314">
        <f t="shared" si="196"/>
        <v>-453</v>
      </c>
      <c r="AJ73" s="571">
        <f t="shared" si="196"/>
        <v>-448.09999999999991</v>
      </c>
      <c r="AK73" s="555">
        <f>SUM(AK61,AK71)</f>
        <v>-901.09999999999991</v>
      </c>
      <c r="AL73" s="314">
        <f t="shared" ref="AL73:AM73" si="197">SUM(AL61,AL71)</f>
        <v>-397.7</v>
      </c>
      <c r="AM73" s="571">
        <f t="shared" si="197"/>
        <v>-425.3</v>
      </c>
      <c r="AN73" s="555">
        <f>SUM(AN61,AN71)</f>
        <v>-823</v>
      </c>
      <c r="AO73" s="314">
        <f t="shared" ref="AO73:AZ73" si="198">SUM(AO61,AO71)</f>
        <v>-463.69999999999993</v>
      </c>
      <c r="AP73" s="571">
        <f t="shared" si="198"/>
        <v>-515.60000000000014</v>
      </c>
      <c r="AQ73" s="555">
        <f>SUM(AQ61,AQ71)</f>
        <v>-979.30000000000007</v>
      </c>
      <c r="AR73" s="314">
        <f t="shared" si="198"/>
        <v>-554.9</v>
      </c>
      <c r="AS73" s="571">
        <f t="shared" si="198"/>
        <v>-542.71325999342537</v>
      </c>
      <c r="AT73" s="555">
        <f t="shared" si="198"/>
        <v>-1097.5345674000528</v>
      </c>
      <c r="AU73" s="314">
        <f t="shared" si="198"/>
        <v>-551.1</v>
      </c>
      <c r="AV73" s="571">
        <f t="shared" si="198"/>
        <v>-537.42410616657025</v>
      </c>
      <c r="AW73" s="555">
        <f t="shared" si="198"/>
        <v>-928.52962845662432</v>
      </c>
      <c r="AX73" s="314">
        <f t="shared" si="198"/>
        <v>-480.40482450886918</v>
      </c>
      <c r="AY73" s="571">
        <f t="shared" si="198"/>
        <v>-476.91090235434848</v>
      </c>
      <c r="AZ73" s="555">
        <f t="shared" si="198"/>
        <v>-957.41572686321786</v>
      </c>
    </row>
    <row r="74" spans="2:52" s="30" customFormat="1" ht="14.5" thickBot="1" x14ac:dyDescent="0.35">
      <c r="B74" s="15" t="s">
        <v>696</v>
      </c>
      <c r="C74" s="28"/>
      <c r="D74" s="28"/>
      <c r="E74" s="28"/>
      <c r="F74" s="28"/>
      <c r="G74" s="28"/>
      <c r="H74" s="28"/>
      <c r="I74" s="28"/>
      <c r="J74" s="28"/>
      <c r="K74" s="28"/>
      <c r="L74" s="28"/>
      <c r="M74" s="28"/>
      <c r="N74" s="28"/>
      <c r="O74" s="28"/>
      <c r="P74" s="28"/>
      <c r="Q74" s="28"/>
      <c r="R74" s="28"/>
      <c r="S74" s="28"/>
      <c r="T74" s="29">
        <f>SUM(T32,T73)</f>
        <v>81.5</v>
      </c>
      <c r="U74" s="29">
        <f t="shared" ref="U74:AJ74" si="199">SUM(U32,U73)</f>
        <v>82.649999999999977</v>
      </c>
      <c r="V74" s="52">
        <f t="shared" si="199"/>
        <v>164.10000000000002</v>
      </c>
      <c r="W74" s="29">
        <f t="shared" si="199"/>
        <v>86.300000000000011</v>
      </c>
      <c r="X74" s="29">
        <f t="shared" si="199"/>
        <v>94.699999999999989</v>
      </c>
      <c r="Y74" s="52">
        <f t="shared" si="199"/>
        <v>181</v>
      </c>
      <c r="Z74" s="29">
        <f t="shared" si="199"/>
        <v>100.10000000000002</v>
      </c>
      <c r="AA74" s="29">
        <f t="shared" si="199"/>
        <v>111.39999999999998</v>
      </c>
      <c r="AB74" s="52">
        <f t="shared" si="199"/>
        <v>211.50000000000023</v>
      </c>
      <c r="AC74" s="29">
        <f t="shared" si="199"/>
        <v>116.53000000000003</v>
      </c>
      <c r="AD74" s="29">
        <f t="shared" si="199"/>
        <v>126.89999999999998</v>
      </c>
      <c r="AE74" s="52">
        <f t="shared" si="199"/>
        <v>243.39999999999986</v>
      </c>
      <c r="AF74" s="29">
        <f t="shared" si="199"/>
        <v>124.10000000000002</v>
      </c>
      <c r="AG74" s="29">
        <f t="shared" si="199"/>
        <v>109.60000000000008</v>
      </c>
      <c r="AH74" s="52">
        <f t="shared" si="199"/>
        <v>233.70000000000005</v>
      </c>
      <c r="AI74" s="29">
        <f t="shared" si="199"/>
        <v>100.10000000000002</v>
      </c>
      <c r="AJ74" s="143">
        <f t="shared" si="199"/>
        <v>-4.9999999999998863</v>
      </c>
      <c r="AK74" s="52">
        <f>AK32+AK73</f>
        <v>95.100000000000136</v>
      </c>
      <c r="AL74" s="29">
        <f t="shared" ref="AL74:AM74" si="200">SUM(AL32,AL73)</f>
        <v>25.100000000000023</v>
      </c>
      <c r="AM74" s="143">
        <f t="shared" si="200"/>
        <v>70</v>
      </c>
      <c r="AN74" s="52">
        <f>AN32+AN73</f>
        <v>95.100000000000023</v>
      </c>
      <c r="AO74" s="29">
        <f t="shared" ref="AO74:AV74" si="201">SUM(AO32,AO73)</f>
        <v>101.60000000000002</v>
      </c>
      <c r="AP74" s="143">
        <f t="shared" si="201"/>
        <v>108.49999999999989</v>
      </c>
      <c r="AQ74" s="52">
        <f>AQ32+AQ73</f>
        <v>210.10000000000002</v>
      </c>
      <c r="AR74" s="29">
        <f t="shared" si="201"/>
        <v>97</v>
      </c>
      <c r="AS74" s="143">
        <f t="shared" si="201"/>
        <v>99.955155918977653</v>
      </c>
      <c r="AT74" s="52">
        <f t="shared" si="201"/>
        <v>197.03384851235023</v>
      </c>
      <c r="AU74" s="29">
        <f t="shared" si="201"/>
        <v>32.199999999999932</v>
      </c>
      <c r="AV74" s="143">
        <f t="shared" si="201"/>
        <v>-7.1417378353697814</v>
      </c>
      <c r="AW74" s="52">
        <f>[1]Interims!BP373</f>
        <v>25.1</v>
      </c>
      <c r="AX74" s="29">
        <f>[1]Interims!BQ373</f>
        <v>15.6</v>
      </c>
      <c r="AY74" s="143">
        <f>[1]Interims!BR373</f>
        <v>-0.69999999999999929</v>
      </c>
      <c r="AZ74" s="52">
        <f>[1]Interims!BS373</f>
        <v>14.9</v>
      </c>
    </row>
    <row r="75" spans="2:52" s="20" customFormat="1" ht="14.5" thickTop="1" x14ac:dyDescent="0.3">
      <c r="B75" s="368"/>
      <c r="C75" s="368"/>
      <c r="D75" s="368"/>
      <c r="E75" s="368"/>
      <c r="F75" s="368"/>
      <c r="G75" s="368"/>
      <c r="H75" s="368"/>
      <c r="I75" s="368"/>
      <c r="J75" s="368"/>
      <c r="K75" s="368"/>
      <c r="L75" s="368"/>
      <c r="M75" s="368"/>
      <c r="N75" s="368"/>
      <c r="O75" s="368"/>
      <c r="P75" s="368"/>
      <c r="Q75" s="368"/>
      <c r="R75" s="368"/>
      <c r="S75" s="368"/>
      <c r="T75" s="369"/>
      <c r="U75" s="369"/>
      <c r="V75" s="370"/>
      <c r="W75" s="369"/>
      <c r="X75" s="369"/>
      <c r="Y75" s="370"/>
      <c r="Z75" s="369"/>
      <c r="AA75" s="369"/>
      <c r="AB75" s="370"/>
      <c r="AC75" s="369"/>
      <c r="AD75" s="369"/>
      <c r="AE75" s="370"/>
      <c r="AF75" s="369"/>
      <c r="AG75" s="369"/>
      <c r="AH75" s="370"/>
      <c r="AI75" s="369"/>
      <c r="AJ75" s="369"/>
      <c r="AK75" s="370"/>
      <c r="AL75" s="2"/>
      <c r="AM75" s="2"/>
      <c r="AN75" s="370"/>
      <c r="AO75" s="2"/>
      <c r="AP75" s="2"/>
      <c r="AQ75" s="370"/>
      <c r="AR75" s="2"/>
      <c r="AS75" s="2"/>
      <c r="AT75" s="370"/>
      <c r="AU75" s="2"/>
      <c r="AV75" s="2"/>
      <c r="AW75" s="370"/>
      <c r="AX75" s="2"/>
      <c r="AY75" s="2"/>
      <c r="AZ75" s="370"/>
    </row>
    <row r="76" spans="2:52" s="407" customFormat="1" x14ac:dyDescent="0.3">
      <c r="B76" s="404" t="s">
        <v>601</v>
      </c>
      <c r="C76" s="405"/>
      <c r="D76" s="405"/>
      <c r="E76" s="405"/>
      <c r="F76" s="405"/>
      <c r="G76" s="405"/>
      <c r="H76" s="405"/>
      <c r="I76" s="405"/>
      <c r="J76" s="405"/>
      <c r="K76" s="405"/>
      <c r="L76" s="405"/>
      <c r="M76" s="405"/>
      <c r="N76" s="405"/>
      <c r="O76" s="405"/>
      <c r="P76" s="405"/>
      <c r="Q76" s="405"/>
      <c r="R76" s="405"/>
      <c r="S76" s="405"/>
      <c r="T76" s="406">
        <f t="shared" ref="T76:AH76" si="202">T93</f>
        <v>81.5</v>
      </c>
      <c r="U76" s="406">
        <f t="shared" si="202"/>
        <v>82.649999999999991</v>
      </c>
      <c r="V76" s="406">
        <f t="shared" si="202"/>
        <v>164.1</v>
      </c>
      <c r="W76" s="406">
        <f t="shared" si="202"/>
        <v>86.3</v>
      </c>
      <c r="X76" s="406">
        <f t="shared" si="202"/>
        <v>94.7</v>
      </c>
      <c r="Y76" s="406">
        <f t="shared" si="202"/>
        <v>181</v>
      </c>
      <c r="Z76" s="406">
        <f t="shared" si="202"/>
        <v>100.1</v>
      </c>
      <c r="AA76" s="406">
        <f t="shared" si="202"/>
        <v>111.39999999999999</v>
      </c>
      <c r="AB76" s="406">
        <f t="shared" si="202"/>
        <v>211.5</v>
      </c>
      <c r="AC76" s="406">
        <f t="shared" si="202"/>
        <v>116.53000000000002</v>
      </c>
      <c r="AD76" s="406">
        <f t="shared" si="202"/>
        <v>126.89999999999998</v>
      </c>
      <c r="AE76" s="406">
        <f t="shared" si="202"/>
        <v>243.39999999999998</v>
      </c>
      <c r="AF76" s="406">
        <f t="shared" si="202"/>
        <v>124.10000000000001</v>
      </c>
      <c r="AG76" s="406">
        <f t="shared" si="202"/>
        <v>124.70000000000002</v>
      </c>
      <c r="AH76" s="406">
        <f t="shared" si="202"/>
        <v>248.8</v>
      </c>
      <c r="AJ76" s="405"/>
      <c r="AK76" s="406"/>
      <c r="AL76" s="405"/>
      <c r="AM76" s="405"/>
      <c r="AN76" s="406"/>
      <c r="AO76" s="405"/>
      <c r="AP76" s="405"/>
      <c r="AQ76" s="406"/>
      <c r="AR76" s="405"/>
      <c r="AS76" s="405"/>
      <c r="AT76" s="406"/>
      <c r="AU76" s="405"/>
      <c r="AV76" s="405"/>
      <c r="AW76" s="406"/>
      <c r="AX76" s="405"/>
      <c r="AY76" s="405"/>
      <c r="AZ76" s="406"/>
    </row>
    <row r="77" spans="2:52" s="142" customFormat="1" x14ac:dyDescent="0.3">
      <c r="B77" s="570" t="s">
        <v>473</v>
      </c>
      <c r="C77" s="570"/>
      <c r="D77" s="570"/>
      <c r="E77" s="570"/>
      <c r="F77" s="570"/>
      <c r="G77" s="570"/>
      <c r="H77" s="570"/>
      <c r="I77" s="570"/>
      <c r="J77" s="570"/>
      <c r="K77" s="570"/>
      <c r="L77" s="570"/>
      <c r="M77" s="570"/>
      <c r="N77" s="570"/>
      <c r="O77" s="570"/>
      <c r="P77" s="570"/>
      <c r="Q77" s="570"/>
      <c r="R77" s="570"/>
      <c r="S77" s="570"/>
      <c r="T77" s="314">
        <v>22.6</v>
      </c>
      <c r="U77" s="314">
        <v>21.6</v>
      </c>
      <c r="V77" s="555">
        <v>44.2</v>
      </c>
      <c r="W77" s="314">
        <v>20.399999999999999</v>
      </c>
      <c r="X77" s="314">
        <v>23.6</v>
      </c>
      <c r="Y77" s="555">
        <v>44</v>
      </c>
      <c r="Z77" s="314">
        <v>30.2</v>
      </c>
      <c r="AA77" s="314">
        <v>32.599999999999994</v>
      </c>
      <c r="AB77" s="555">
        <v>62.8</v>
      </c>
      <c r="AC77" s="314">
        <v>34.130000000000003</v>
      </c>
      <c r="AD77" s="314">
        <v>34.999999999999993</v>
      </c>
      <c r="AE77" s="555">
        <v>69.099999999999994</v>
      </c>
      <c r="AF77" s="314">
        <v>34.1</v>
      </c>
      <c r="AG77" s="314">
        <v>32.299999999999997</v>
      </c>
      <c r="AH77" s="555">
        <v>66.400000000000006</v>
      </c>
      <c r="AI77" s="314">
        <v>28.5</v>
      </c>
      <c r="AJ77" s="571">
        <v>19.7</v>
      </c>
      <c r="AK77" s="555">
        <v>48.2</v>
      </c>
      <c r="AL77" s="571">
        <v>16.8</v>
      </c>
      <c r="AM77" s="571">
        <v>22.9</v>
      </c>
      <c r="AN77" s="555">
        <v>39.700000000000003</v>
      </c>
      <c r="AO77" s="571">
        <v>26</v>
      </c>
      <c r="AP77" s="571">
        <v>25.6</v>
      </c>
      <c r="AQ77" s="555">
        <v>51.6</v>
      </c>
      <c r="AR77" s="571">
        <v>17.756145459985675</v>
      </c>
      <c r="AS77" s="571">
        <v>14.389041765622771</v>
      </c>
      <c r="AT77" s="555">
        <v>32.145187225608446</v>
      </c>
      <c r="AU77" s="571">
        <v>6.4</v>
      </c>
      <c r="AV77" s="571">
        <f>[1]Interims!BO59</f>
        <v>5.1490821015363641</v>
      </c>
      <c r="AW77" s="555">
        <f>[1]Interims!BP59</f>
        <v>11.549104895023017</v>
      </c>
      <c r="AX77" s="571">
        <f>[1]Interims!BQ59</f>
        <v>1.3635332364050248</v>
      </c>
      <c r="AY77" s="571">
        <f>[1]Interims!BR59</f>
        <v>2.2371852066377693</v>
      </c>
      <c r="AZ77" s="555">
        <f>[1]Interims!BS59</f>
        <v>3.6007184430427941</v>
      </c>
    </row>
    <row r="78" spans="2:52" s="35" customFormat="1" ht="13" x14ac:dyDescent="0.3">
      <c r="B78" s="197" t="s">
        <v>560</v>
      </c>
      <c r="C78" s="121"/>
      <c r="D78" s="121"/>
      <c r="E78" s="121"/>
      <c r="F78" s="121"/>
      <c r="G78" s="121"/>
      <c r="H78" s="121"/>
      <c r="I78" s="121"/>
      <c r="J78" s="121"/>
      <c r="K78" s="121"/>
      <c r="L78" s="121"/>
      <c r="M78" s="121"/>
      <c r="N78" s="121"/>
      <c r="O78" s="121"/>
      <c r="P78" s="121"/>
      <c r="Q78" s="121"/>
      <c r="R78" s="121"/>
      <c r="S78" s="121"/>
      <c r="T78" s="122">
        <v>0</v>
      </c>
      <c r="U78" s="122">
        <v>-0.02</v>
      </c>
      <c r="V78" s="617">
        <v>-0.01</v>
      </c>
      <c r="W78" s="122">
        <f t="shared" ref="W78:AR78" si="203">W77/T77-1</f>
        <v>-9.7345132743362983E-2</v>
      </c>
      <c r="X78" s="122">
        <f t="shared" si="203"/>
        <v>9.259259259259256E-2</v>
      </c>
      <c r="Y78" s="617">
        <f t="shared" si="203"/>
        <v>-4.5248868778281492E-3</v>
      </c>
      <c r="Z78" s="122">
        <f t="shared" si="203"/>
        <v>0.48039215686274517</v>
      </c>
      <c r="AA78" s="122">
        <f t="shared" si="203"/>
        <v>0.38135593220338948</v>
      </c>
      <c r="AB78" s="617">
        <f t="shared" si="203"/>
        <v>0.42727272727272725</v>
      </c>
      <c r="AC78" s="122">
        <f t="shared" si="203"/>
        <v>0.13013245033112586</v>
      </c>
      <c r="AD78" s="122">
        <f t="shared" si="203"/>
        <v>7.361963190184051E-2</v>
      </c>
      <c r="AE78" s="617">
        <f t="shared" si="203"/>
        <v>0.10031847133757954</v>
      </c>
      <c r="AF78" s="122">
        <f t="shared" si="203"/>
        <v>-8.7899208907127324E-4</v>
      </c>
      <c r="AG78" s="122">
        <f t="shared" si="203"/>
        <v>-7.7142857142857069E-2</v>
      </c>
      <c r="AH78" s="617">
        <f t="shared" si="203"/>
        <v>-3.9073806078147477E-2</v>
      </c>
      <c r="AI78" s="122">
        <v>-0.17</v>
      </c>
      <c r="AJ78" s="122">
        <f t="shared" si="203"/>
        <v>-0.3900928792569659</v>
      </c>
      <c r="AK78" s="617">
        <f t="shared" si="203"/>
        <v>-0.27409638554216864</v>
      </c>
      <c r="AL78" s="122">
        <f t="shared" si="203"/>
        <v>-0.41052631578947363</v>
      </c>
      <c r="AM78" s="122">
        <f t="shared" si="203"/>
        <v>0.1624365482233503</v>
      </c>
      <c r="AN78" s="617">
        <f t="shared" si="203"/>
        <v>-0.17634854771784236</v>
      </c>
      <c r="AO78" s="122">
        <f t="shared" si="203"/>
        <v>0.54761904761904745</v>
      </c>
      <c r="AP78" s="122">
        <f t="shared" si="203"/>
        <v>0.11790393013100453</v>
      </c>
      <c r="AQ78" s="617">
        <f t="shared" si="203"/>
        <v>0.29974811083123409</v>
      </c>
      <c r="AR78" s="122">
        <f t="shared" si="203"/>
        <v>-0.31707132846208941</v>
      </c>
      <c r="AS78" s="122">
        <f t="shared" ref="AS78" si="204">AS77/AP77-1</f>
        <v>-0.43792805603036056</v>
      </c>
      <c r="AT78" s="617">
        <f t="shared" ref="AT78" si="205">AT77/AQ77-1</f>
        <v>-0.37703125531766579</v>
      </c>
      <c r="AU78" s="122">
        <v>-0.64</v>
      </c>
      <c r="AV78" s="122">
        <f>AV77/AS77-1</f>
        <v>-0.64215253625587709</v>
      </c>
      <c r="AW78" s="617">
        <f>AW77/AT77-1</f>
        <v>-0.64072055906949488</v>
      </c>
      <c r="AX78" s="122">
        <f t="shared" ref="AX78:AZ78" si="206">AX77/AU77-1</f>
        <v>-0.78694793181171485</v>
      </c>
      <c r="AY78" s="122">
        <f t="shared" si="206"/>
        <v>-0.56551766654288804</v>
      </c>
      <c r="AZ78" s="617">
        <f t="shared" si="206"/>
        <v>-0.68822532345389886</v>
      </c>
    </row>
    <row r="79" spans="2:52" s="417" customFormat="1" ht="14.5" x14ac:dyDescent="0.3">
      <c r="B79" s="418" t="s">
        <v>110</v>
      </c>
      <c r="C79" s="413"/>
      <c r="D79" s="413"/>
      <c r="E79" s="413"/>
      <c r="F79" s="413"/>
      <c r="G79" s="413"/>
      <c r="H79" s="413"/>
      <c r="I79" s="413"/>
      <c r="J79" s="413"/>
      <c r="K79" s="413"/>
      <c r="L79" s="413"/>
      <c r="M79" s="413"/>
      <c r="N79" s="413"/>
      <c r="O79" s="413"/>
      <c r="P79" s="413"/>
      <c r="Q79" s="413"/>
      <c r="R79" s="413"/>
      <c r="S79" s="413"/>
      <c r="T79" s="414">
        <v>0.06</v>
      </c>
      <c r="U79" s="414"/>
      <c r="V79" s="416">
        <v>0.05</v>
      </c>
      <c r="W79" s="415">
        <v>0.05</v>
      </c>
      <c r="X79" s="415"/>
      <c r="Y79" s="416">
        <v>0.08</v>
      </c>
      <c r="Z79" s="415"/>
      <c r="AA79" s="415">
        <v>0.12</v>
      </c>
      <c r="AB79" s="416">
        <v>0.14000000000000001</v>
      </c>
      <c r="AC79" s="415">
        <v>0.13</v>
      </c>
      <c r="AD79" s="415">
        <v>0.15</v>
      </c>
      <c r="AE79" s="416">
        <v>0.14000000000000001</v>
      </c>
      <c r="AF79" s="415">
        <v>0.06</v>
      </c>
      <c r="AG79" s="415">
        <v>-0.05</v>
      </c>
      <c r="AH79" s="416">
        <v>0</v>
      </c>
      <c r="AI79" s="415">
        <v>-0.14000000000000001</v>
      </c>
      <c r="AJ79" s="415">
        <v>-0.36</v>
      </c>
      <c r="AK79" s="416">
        <v>-0.25</v>
      </c>
      <c r="AL79" s="415">
        <v>-0.42</v>
      </c>
      <c r="AM79" s="415">
        <v>0.08</v>
      </c>
      <c r="AN79" s="416">
        <v>-0.21</v>
      </c>
      <c r="AO79" s="415">
        <v>0.6</v>
      </c>
      <c r="AP79" s="415">
        <v>0.13</v>
      </c>
      <c r="AQ79" s="416">
        <v>0.32</v>
      </c>
      <c r="AR79" s="415">
        <v>-0.36</v>
      </c>
      <c r="AS79" s="415">
        <v>-0.43</v>
      </c>
      <c r="AT79" s="416">
        <v>-0.39</v>
      </c>
      <c r="AU79" s="415">
        <v>-0.6</v>
      </c>
      <c r="AV79" s="415">
        <f>[1]Interims!BO268</f>
        <v>-0.64215253625587709</v>
      </c>
      <c r="AW79" s="416">
        <f>[1]Interims!BP268</f>
        <v>-0.61279461279461278</v>
      </c>
      <c r="AX79" s="415">
        <f>[1]Interims!BQ268</f>
        <v>-0.77777777777777779</v>
      </c>
      <c r="AY79" s="415">
        <f>[1]Interims!BR268</f>
        <v>-0.52</v>
      </c>
      <c r="AZ79" s="416">
        <f>[1]Interims!BS268</f>
        <v>-0.66972477064220182</v>
      </c>
    </row>
    <row r="80" spans="2:52" s="411" customFormat="1" ht="13" x14ac:dyDescent="0.3">
      <c r="B80" s="432" t="s">
        <v>111</v>
      </c>
      <c r="C80" s="409"/>
      <c r="D80" s="409"/>
      <c r="E80" s="409"/>
      <c r="F80" s="409"/>
      <c r="G80" s="409"/>
      <c r="H80" s="409"/>
      <c r="I80" s="409"/>
      <c r="J80" s="409"/>
      <c r="K80" s="409"/>
      <c r="L80" s="409"/>
      <c r="M80" s="409"/>
      <c r="N80" s="409"/>
      <c r="O80" s="409"/>
      <c r="P80" s="409"/>
      <c r="Q80" s="409"/>
      <c r="R80" s="409"/>
      <c r="S80" s="409"/>
      <c r="T80" s="410">
        <v>-6.0759704097747447E-2</v>
      </c>
      <c r="U80" s="410">
        <v>-2.262443438914008E-2</v>
      </c>
      <c r="V80" s="439">
        <f t="shared" ref="V80" si="207">(1+V78)/(1+V79)-1</f>
        <v>-5.7142857142857162E-2</v>
      </c>
      <c r="W80" s="434">
        <f t="shared" ref="W80" si="208">(1+W78)/(1+W79)-1</f>
        <v>-0.14032869785082192</v>
      </c>
      <c r="X80" s="434">
        <f t="shared" ref="X80" si="209">(1+X78)/(1+X79)-1</f>
        <v>9.259259259259256E-2</v>
      </c>
      <c r="Y80" s="439">
        <f t="shared" ref="Y80" si="210">(1+Y78)/(1+Y79)-1</f>
        <v>-7.8263784146137216E-2</v>
      </c>
      <c r="Z80" s="434">
        <f t="shared" ref="Z80" si="211">(1+Z78)/(1+Z79)-1</f>
        <v>0.48039215686274517</v>
      </c>
      <c r="AA80" s="434">
        <f t="shared" ref="AA80" si="212">(1+AA78)/(1+AA79)-1</f>
        <v>0.2333535108958833</v>
      </c>
      <c r="AB80" s="439">
        <f t="shared" ref="AB80" si="213">(1+AB78)/(1+AB79)-1</f>
        <v>0.25199362041467288</v>
      </c>
      <c r="AC80" s="434">
        <f t="shared" ref="AC80" si="214">(1+AC78)/(1+AC79)-1</f>
        <v>1.1721268241227101E-4</v>
      </c>
      <c r="AD80" s="434">
        <f t="shared" ref="AD80" si="215">(1+AD78)/(1+AD79)-1</f>
        <v>-6.6417711389703871E-2</v>
      </c>
      <c r="AE80" s="439">
        <f t="shared" ref="AE80" si="216">(1+AE78)/(1+AE79)-1</f>
        <v>-3.4808358475807544E-2</v>
      </c>
      <c r="AF80" s="434">
        <f t="shared" ref="AF80" si="217">(1+AF78)/(1+AF79)-1</f>
        <v>-5.7433011404784295E-2</v>
      </c>
      <c r="AG80" s="434">
        <f t="shared" ref="AG80" si="218">(1+AG78)/(1+AG79)-1</f>
        <v>-2.857142857142847E-2</v>
      </c>
      <c r="AH80" s="439">
        <f t="shared" ref="AH80:AQ80" si="219">(1+AH78)/(1+AH79)-1</f>
        <v>-3.9073806078147477E-2</v>
      </c>
      <c r="AI80" s="434">
        <f t="shared" si="219"/>
        <v>-3.488372093023262E-2</v>
      </c>
      <c r="AJ80" s="434">
        <f t="shared" si="219"/>
        <v>-4.702012383900922E-2</v>
      </c>
      <c r="AK80" s="439">
        <f t="shared" si="219"/>
        <v>-3.2128514056224855E-2</v>
      </c>
      <c r="AL80" s="434">
        <v>0.01</v>
      </c>
      <c r="AM80" s="434">
        <f t="shared" si="219"/>
        <v>7.6330137243842744E-2</v>
      </c>
      <c r="AN80" s="439">
        <f t="shared" ref="AN80" si="220">(1+AN78)/(1+AN79)-1</f>
        <v>4.2596775040705914E-2</v>
      </c>
      <c r="AO80" s="434">
        <f t="shared" si="219"/>
        <v>-3.2738095238095344E-2</v>
      </c>
      <c r="AP80" s="434">
        <f t="shared" si="219"/>
        <v>-1.0704486609730446E-2</v>
      </c>
      <c r="AQ80" s="439">
        <f t="shared" si="219"/>
        <v>-1.5342340279368205E-2</v>
      </c>
      <c r="AR80" s="434">
        <f>AR78-AR79</f>
        <v>4.2928671537910579E-2</v>
      </c>
      <c r="AS80" s="434">
        <f t="shared" ref="AS80:AT80" si="221">AS78-AS79</f>
        <v>-7.9280560303605641E-3</v>
      </c>
      <c r="AT80" s="439">
        <f t="shared" si="221"/>
        <v>1.2968744682334221E-2</v>
      </c>
      <c r="AU80" s="434">
        <v>-0.04</v>
      </c>
      <c r="AV80" s="434">
        <f>AV78-AV79</f>
        <v>0</v>
      </c>
      <c r="AW80" s="439">
        <f>AW78-AW79</f>
        <v>-2.7925946274882096E-2</v>
      </c>
      <c r="AX80" s="434">
        <f t="shared" ref="AX80:AZ80" si="222">AX78-AX79</f>
        <v>-9.1701540339370613E-3</v>
      </c>
      <c r="AY80" s="434">
        <f t="shared" si="222"/>
        <v>-4.5517666542888024E-2</v>
      </c>
      <c r="AZ80" s="439">
        <f t="shared" si="222"/>
        <v>-1.8500552811697046E-2</v>
      </c>
    </row>
    <row r="81" spans="2:52" s="142" customFormat="1" x14ac:dyDescent="0.3">
      <c r="B81" s="570" t="s">
        <v>112</v>
      </c>
      <c r="C81" s="570"/>
      <c r="D81" s="570"/>
      <c r="E81" s="570"/>
      <c r="F81" s="570"/>
      <c r="G81" s="570"/>
      <c r="H81" s="570"/>
      <c r="I81" s="570"/>
      <c r="J81" s="570"/>
      <c r="K81" s="570"/>
      <c r="L81" s="570"/>
      <c r="M81" s="570"/>
      <c r="N81" s="570"/>
      <c r="O81" s="570"/>
      <c r="P81" s="570"/>
      <c r="Q81" s="570"/>
      <c r="R81" s="570"/>
      <c r="S81" s="570"/>
      <c r="T81" s="314">
        <v>32.299999999999997</v>
      </c>
      <c r="U81" s="314">
        <v>27.2</v>
      </c>
      <c r="V81" s="555">
        <v>59.5</v>
      </c>
      <c r="W81" s="314">
        <v>31.3</v>
      </c>
      <c r="X81" s="314">
        <v>31.9</v>
      </c>
      <c r="Y81" s="555">
        <v>63.2</v>
      </c>
      <c r="Z81" s="314">
        <v>38.6</v>
      </c>
      <c r="AA81" s="314">
        <v>41.9</v>
      </c>
      <c r="AB81" s="555">
        <v>80.5</v>
      </c>
      <c r="AC81" s="314">
        <v>41.1</v>
      </c>
      <c r="AD81" s="314">
        <v>44.9</v>
      </c>
      <c r="AE81" s="555">
        <v>86</v>
      </c>
      <c r="AF81" s="314">
        <v>46.7</v>
      </c>
      <c r="AG81" s="314">
        <v>44.6</v>
      </c>
      <c r="AH81" s="555">
        <v>91.3</v>
      </c>
      <c r="AI81" s="314">
        <v>37</v>
      </c>
      <c r="AJ81" s="571">
        <v>16.2</v>
      </c>
      <c r="AK81" s="555">
        <v>53.2</v>
      </c>
      <c r="AL81" s="571">
        <v>9.1999999999999993</v>
      </c>
      <c r="AM81" s="571">
        <v>22.2</v>
      </c>
      <c r="AN81" s="555">
        <v>31.4</v>
      </c>
      <c r="AO81" s="571">
        <v>36.299999999999997</v>
      </c>
      <c r="AP81" s="571">
        <v>39.299999999999997</v>
      </c>
      <c r="AQ81" s="555">
        <v>75.599999999999994</v>
      </c>
      <c r="AR81" s="571">
        <v>43.2</v>
      </c>
      <c r="AS81" s="571">
        <v>56.948992076228215</v>
      </c>
      <c r="AT81" s="555">
        <v>100.18226024392479</v>
      </c>
      <c r="AU81" s="571">
        <v>40.799999999999997</v>
      </c>
      <c r="AV81" s="571">
        <f>[1]Interims!BO60</f>
        <v>27.231826359315384</v>
      </c>
      <c r="AW81" s="555">
        <f>[1]Interims!BP60</f>
        <v>68.020076914548881</v>
      </c>
      <c r="AX81" s="571">
        <f>[1]Interims!BQ60</f>
        <v>27.542769547425291</v>
      </c>
      <c r="AY81" s="571">
        <f>[1]Interims!BR60</f>
        <v>24.51662561582587</v>
      </c>
      <c r="AZ81" s="555">
        <f>[1]Interims!BS60</f>
        <v>52.05939516325116</v>
      </c>
    </row>
    <row r="82" spans="2:52" s="35" customFormat="1" ht="13" x14ac:dyDescent="0.3">
      <c r="B82" s="197" t="s">
        <v>560</v>
      </c>
      <c r="C82" s="121"/>
      <c r="D82" s="121"/>
      <c r="E82" s="121"/>
      <c r="F82" s="121"/>
      <c r="G82" s="121"/>
      <c r="H82" s="121"/>
      <c r="I82" s="121"/>
      <c r="J82" s="121"/>
      <c r="K82" s="121"/>
      <c r="L82" s="121"/>
      <c r="M82" s="121"/>
      <c r="N82" s="121"/>
      <c r="O82" s="121"/>
      <c r="P82" s="121"/>
      <c r="Q82" s="121"/>
      <c r="R82" s="121"/>
      <c r="S82" s="121"/>
      <c r="T82" s="122">
        <v>0.01</v>
      </c>
      <c r="U82" s="122">
        <v>-0.09</v>
      </c>
      <c r="V82" s="618">
        <v>-0.04</v>
      </c>
      <c r="W82" s="122">
        <f t="shared" ref="W82:AR82" si="223">W81/T81-1</f>
        <v>-3.0959752321981338E-2</v>
      </c>
      <c r="X82" s="122">
        <f t="shared" si="223"/>
        <v>0.17279411764705888</v>
      </c>
      <c r="Y82" s="618">
        <f t="shared" si="223"/>
        <v>6.2184873949579833E-2</v>
      </c>
      <c r="Z82" s="122">
        <f t="shared" si="223"/>
        <v>0.23322683706070291</v>
      </c>
      <c r="AA82" s="122">
        <f t="shared" si="223"/>
        <v>0.31347962382445149</v>
      </c>
      <c r="AB82" s="618">
        <f t="shared" si="223"/>
        <v>0.27373417721518978</v>
      </c>
      <c r="AC82" s="122">
        <f t="shared" si="223"/>
        <v>6.476683937823835E-2</v>
      </c>
      <c r="AD82" s="122">
        <f t="shared" si="223"/>
        <v>7.1599045346061985E-2</v>
      </c>
      <c r="AE82" s="618">
        <f t="shared" si="223"/>
        <v>6.8322981366459645E-2</v>
      </c>
      <c r="AF82" s="122">
        <f t="shared" si="223"/>
        <v>0.13625304136253047</v>
      </c>
      <c r="AG82" s="122">
        <f t="shared" si="223"/>
        <v>-6.6815144766146917E-3</v>
      </c>
      <c r="AH82" s="618">
        <f t="shared" si="223"/>
        <v>6.1627906976744251E-2</v>
      </c>
      <c r="AI82" s="122">
        <f t="shared" si="223"/>
        <v>-0.20770877944325483</v>
      </c>
      <c r="AJ82" s="122">
        <f t="shared" si="223"/>
        <v>-0.63677130044843056</v>
      </c>
      <c r="AK82" s="618">
        <f t="shared" si="223"/>
        <v>-0.41730558598028478</v>
      </c>
      <c r="AL82" s="122">
        <f t="shared" si="223"/>
        <v>-0.75135135135135134</v>
      </c>
      <c r="AM82" s="122">
        <f t="shared" si="223"/>
        <v>0.37037037037037046</v>
      </c>
      <c r="AN82" s="618">
        <f t="shared" si="223"/>
        <v>-0.40977443609022557</v>
      </c>
      <c r="AO82" s="122">
        <f t="shared" si="223"/>
        <v>2.9456521739130435</v>
      </c>
      <c r="AP82" s="122">
        <f t="shared" si="223"/>
        <v>0.77027027027027017</v>
      </c>
      <c r="AQ82" s="618">
        <f t="shared" si="223"/>
        <v>1.4076433121019107</v>
      </c>
      <c r="AR82" s="122">
        <f t="shared" si="223"/>
        <v>0.19008264462809943</v>
      </c>
      <c r="AS82" s="122">
        <f t="shared" ref="AS82" si="224">AS81/AP81-1</f>
        <v>0.44908376784295734</v>
      </c>
      <c r="AT82" s="618">
        <f t="shared" ref="AT82" si="225">AT81/AQ81-1</f>
        <v>0.32516217253868773</v>
      </c>
      <c r="AU82" s="122">
        <v>-0.06</v>
      </c>
      <c r="AV82" s="122">
        <f>AV81/AS81-1</f>
        <v>-0.52182074929676303</v>
      </c>
      <c r="AW82" s="618">
        <f>AW81/AT81-1</f>
        <v>-0.32103671100120013</v>
      </c>
      <c r="AX82" s="122">
        <f t="shared" ref="AX82:AZ82" si="226">AX81/AU81-1</f>
        <v>-0.32493211893565455</v>
      </c>
      <c r="AY82" s="122">
        <f t="shared" si="226"/>
        <v>-9.9706891034897716E-2</v>
      </c>
      <c r="AZ82" s="618">
        <f t="shared" si="226"/>
        <v>-0.23464662898497657</v>
      </c>
    </row>
    <row r="83" spans="2:52" s="417" customFormat="1" ht="14.5" x14ac:dyDescent="0.3">
      <c r="B83" s="418" t="s">
        <v>110</v>
      </c>
      <c r="C83" s="413"/>
      <c r="D83" s="413"/>
      <c r="E83" s="413"/>
      <c r="F83" s="413"/>
      <c r="G83" s="413"/>
      <c r="H83" s="413"/>
      <c r="I83" s="413"/>
      <c r="J83" s="413"/>
      <c r="K83" s="413"/>
      <c r="L83" s="413"/>
      <c r="M83" s="413"/>
      <c r="N83" s="413"/>
      <c r="O83" s="413"/>
      <c r="P83" s="413"/>
      <c r="Q83" s="413"/>
      <c r="R83" s="413"/>
      <c r="S83" s="413"/>
      <c r="T83" s="414">
        <v>0.08</v>
      </c>
      <c r="U83" s="435"/>
      <c r="V83" s="416">
        <v>0.06</v>
      </c>
      <c r="W83" s="415">
        <v>7.0000000000000007E-2</v>
      </c>
      <c r="X83" s="435"/>
      <c r="Y83" s="416">
        <v>0.08</v>
      </c>
      <c r="Z83" s="415">
        <v>0.03</v>
      </c>
      <c r="AA83" s="415">
        <v>0.15</v>
      </c>
      <c r="AB83" s="416">
        <v>0.09</v>
      </c>
      <c r="AC83" s="415">
        <v>0.02</v>
      </c>
      <c r="AD83" s="415">
        <v>0.05</v>
      </c>
      <c r="AE83" s="416">
        <v>0.04</v>
      </c>
      <c r="AF83" s="415">
        <v>0.14000000000000001</v>
      </c>
      <c r="AG83" s="436">
        <v>0</v>
      </c>
      <c r="AH83" s="416">
        <v>7.0000000000000007E-2</v>
      </c>
      <c r="AI83" s="415">
        <v>-0.2</v>
      </c>
      <c r="AJ83" s="415">
        <v>-0.64</v>
      </c>
      <c r="AK83" s="416">
        <v>-0.41</v>
      </c>
      <c r="AL83" s="415">
        <v>-0.76</v>
      </c>
      <c r="AM83" s="415">
        <v>0.41</v>
      </c>
      <c r="AN83" s="416">
        <v>-0.42</v>
      </c>
      <c r="AO83" s="415">
        <v>3.17</v>
      </c>
      <c r="AP83" s="415">
        <v>0.85</v>
      </c>
      <c r="AQ83" s="416">
        <v>1.52</v>
      </c>
      <c r="AR83" s="415">
        <v>0.17</v>
      </c>
      <c r="AS83" s="415">
        <v>0.4</v>
      </c>
      <c r="AT83" s="416">
        <v>0.28999999999999998</v>
      </c>
      <c r="AU83" s="415">
        <v>-0.06</v>
      </c>
      <c r="AV83" s="415">
        <f>[1]Interims!BO269</f>
        <v>-0.52182074929676303</v>
      </c>
      <c r="AW83" s="416">
        <f>[1]Interims!BP269</f>
        <v>-0.31313131313131315</v>
      </c>
      <c r="AX83" s="415">
        <f>[1]Interims!BQ269</f>
        <v>-0.30555555555555552</v>
      </c>
      <c r="AY83" s="415">
        <f>[1]Interims!BR269</f>
        <v>-0.09</v>
      </c>
      <c r="AZ83" s="416">
        <f>[1]Interims!BS269</f>
        <v>-0.21771771771771772</v>
      </c>
    </row>
    <row r="84" spans="2:52" s="411" customFormat="1" ht="13" x14ac:dyDescent="0.3">
      <c r="B84" s="432" t="s">
        <v>111</v>
      </c>
      <c r="C84" s="409"/>
      <c r="D84" s="409"/>
      <c r="E84" s="409"/>
      <c r="F84" s="409"/>
      <c r="G84" s="409"/>
      <c r="H84" s="409"/>
      <c r="I84" s="409"/>
      <c r="J84" s="409"/>
      <c r="K84" s="409"/>
      <c r="L84" s="409"/>
      <c r="M84" s="409"/>
      <c r="N84" s="409"/>
      <c r="O84" s="409"/>
      <c r="P84" s="409"/>
      <c r="Q84" s="409"/>
      <c r="R84" s="409"/>
      <c r="S84" s="409"/>
      <c r="T84" s="410">
        <v>-6.5393518518518712E-2</v>
      </c>
      <c r="U84" s="437"/>
      <c r="V84" s="439">
        <f t="shared" ref="V84" si="227">(1+V82)/(1+V83)-1</f>
        <v>-9.4339622641509524E-2</v>
      </c>
      <c r="W84" s="434">
        <f t="shared" ref="W84" si="228">(1+W82)/(1+W83)-1</f>
        <v>-9.4354908712132146E-2</v>
      </c>
      <c r="X84" s="437"/>
      <c r="Y84" s="439">
        <f t="shared" ref="Y84" si="229">(1+Y82)/(1+Y83)-1</f>
        <v>-1.6495487083722393E-2</v>
      </c>
      <c r="Z84" s="434">
        <f t="shared" ref="Z84:AA84" si="230">(1+Z82)/(1+Z83)-1</f>
        <v>0.19730760879679887</v>
      </c>
      <c r="AA84" s="434">
        <f t="shared" si="230"/>
        <v>0.14215619462995788</v>
      </c>
      <c r="AB84" s="439">
        <f t="shared" ref="AB84" si="231">(1+AB82)/(1+AB83)-1</f>
        <v>0.1685634653350363</v>
      </c>
      <c r="AC84" s="434">
        <f t="shared" ref="AC84" si="232">(1+AC82)/(1+AC83)-1</f>
        <v>4.3889058213959053E-2</v>
      </c>
      <c r="AD84" s="434">
        <f t="shared" ref="AD84" si="233">(1+AD82)/(1+AD83)-1</f>
        <v>2.057051937720189E-2</v>
      </c>
      <c r="AE84" s="439">
        <f t="shared" ref="AE84" si="234">(1+AE82)/(1+AE83)-1</f>
        <v>2.723363592928818E-2</v>
      </c>
      <c r="AF84" s="434">
        <f t="shared" ref="AF84" si="235">(1+AF82)/(1+AF83)-1</f>
        <v>-3.286805822341754E-3</v>
      </c>
      <c r="AG84" s="434">
        <f t="shared" ref="AG84" si="236">(1+AG82)/(1+AG83)-1</f>
        <v>-6.6815144766146917E-3</v>
      </c>
      <c r="AH84" s="439">
        <f t="shared" ref="AH84:AM84" si="237">(1+AH82)/(1+AH83)-1</f>
        <v>-7.8243860030428047E-3</v>
      </c>
      <c r="AI84" s="434">
        <f t="shared" si="237"/>
        <v>-9.6359743040685952E-3</v>
      </c>
      <c r="AJ84" s="434">
        <f t="shared" si="237"/>
        <v>8.9686098654706559E-3</v>
      </c>
      <c r="AK84" s="439">
        <f t="shared" si="237"/>
        <v>-1.2382349119126834E-2</v>
      </c>
      <c r="AL84" s="434">
        <v>0.01</v>
      </c>
      <c r="AM84" s="434">
        <f t="shared" si="237"/>
        <v>-2.8106120304701721E-2</v>
      </c>
      <c r="AN84" s="439">
        <f t="shared" ref="AN84:AT84" si="238">(1+AN82)/(1+AN83)-1</f>
        <v>1.7630282603059211E-2</v>
      </c>
      <c r="AO84" s="434">
        <f t="shared" si="238"/>
        <v>-5.3800437910541121E-2</v>
      </c>
      <c r="AP84" s="434">
        <f t="shared" si="238"/>
        <v>-4.3097151205259365E-2</v>
      </c>
      <c r="AQ84" s="439">
        <f t="shared" si="238"/>
        <v>-4.4585987261146487E-2</v>
      </c>
      <c r="AR84" s="434">
        <f t="shared" si="238"/>
        <v>1.7164653528290108E-2</v>
      </c>
      <c r="AS84" s="434">
        <f t="shared" si="238"/>
        <v>3.5059834173541082E-2</v>
      </c>
      <c r="AT84" s="439">
        <f t="shared" si="238"/>
        <v>2.725749809200595E-2</v>
      </c>
      <c r="AU84" s="434">
        <v>0</v>
      </c>
      <c r="AV84" s="434">
        <f>AV82-AV83</f>
        <v>0</v>
      </c>
      <c r="AW84" s="439">
        <f>AW82-AW83</f>
        <v>-7.9053978698869765E-3</v>
      </c>
      <c r="AX84" s="434">
        <f t="shared" ref="AX84:AZ84" si="239">AX82-AX83</f>
        <v>-1.9376563380099021E-2</v>
      </c>
      <c r="AY84" s="434">
        <f t="shared" si="239"/>
        <v>-9.7068910348977189E-3</v>
      </c>
      <c r="AZ84" s="439">
        <f t="shared" si="239"/>
        <v>-1.6928911267258845E-2</v>
      </c>
    </row>
    <row r="85" spans="2:52" s="142" customFormat="1" x14ac:dyDescent="0.3">
      <c r="B85" s="570" t="s">
        <v>113</v>
      </c>
      <c r="C85" s="570"/>
      <c r="D85" s="570"/>
      <c r="E85" s="570"/>
      <c r="F85" s="570"/>
      <c r="G85" s="570"/>
      <c r="H85" s="570"/>
      <c r="I85" s="570"/>
      <c r="J85" s="570"/>
      <c r="K85" s="570"/>
      <c r="L85" s="570"/>
      <c r="M85" s="570"/>
      <c r="N85" s="570"/>
      <c r="O85" s="570"/>
      <c r="P85" s="570"/>
      <c r="Q85" s="570"/>
      <c r="R85" s="570"/>
      <c r="S85" s="570"/>
      <c r="T85" s="314">
        <v>21.1</v>
      </c>
      <c r="U85" s="314">
        <v>24.6</v>
      </c>
      <c r="V85" s="555">
        <v>45.65</v>
      </c>
      <c r="W85" s="314">
        <v>25.3</v>
      </c>
      <c r="X85" s="314">
        <v>26.8</v>
      </c>
      <c r="Y85" s="555">
        <v>52.1</v>
      </c>
      <c r="Z85" s="314">
        <v>18.2</v>
      </c>
      <c r="AA85" s="314">
        <v>23.3</v>
      </c>
      <c r="AB85" s="555">
        <v>41.5</v>
      </c>
      <c r="AC85" s="314">
        <v>22.6</v>
      </c>
      <c r="AD85" s="314">
        <v>24.4</v>
      </c>
      <c r="AE85" s="555">
        <v>47</v>
      </c>
      <c r="AF85" s="314">
        <v>24</v>
      </c>
      <c r="AG85" s="314">
        <v>24.9</v>
      </c>
      <c r="AH85" s="555">
        <v>48.9</v>
      </c>
      <c r="AI85" s="314">
        <v>19</v>
      </c>
      <c r="AJ85" s="571">
        <v>-2.4</v>
      </c>
      <c r="AK85" s="555">
        <v>16.600000000000001</v>
      </c>
      <c r="AL85" s="571">
        <v>-1</v>
      </c>
      <c r="AM85" s="571">
        <v>12.5</v>
      </c>
      <c r="AN85" s="555">
        <v>11.5</v>
      </c>
      <c r="AO85" s="571">
        <v>18.2</v>
      </c>
      <c r="AP85" s="571">
        <v>25.2</v>
      </c>
      <c r="AQ85" s="555">
        <v>43.4</v>
      </c>
      <c r="AR85" s="571">
        <v>15.2</v>
      </c>
      <c r="AS85" s="571">
        <v>13.510172869303739</v>
      </c>
      <c r="AT85" s="555">
        <v>28.712447257598484</v>
      </c>
      <c r="AU85" s="571">
        <v>5.7</v>
      </c>
      <c r="AV85" s="571">
        <f>[1]Interims!BO61</f>
        <v>0.6813906960280498</v>
      </c>
      <c r="AW85" s="555">
        <f>[1]Interims!BP61</f>
        <v>6.4090874677992442</v>
      </c>
      <c r="AX85" s="571">
        <f>[1]Interims!BQ61</f>
        <v>-6.5132380382085753</v>
      </c>
      <c r="AY85" s="571">
        <f>[1]Interims!BR61</f>
        <v>0.75873151455871835</v>
      </c>
      <c r="AZ85" s="555">
        <f>[1]Interims!BS61</f>
        <v>-5.7545065236498569</v>
      </c>
    </row>
    <row r="86" spans="2:52" s="35" customFormat="1" ht="13" x14ac:dyDescent="0.3">
      <c r="B86" s="197" t="s">
        <v>560</v>
      </c>
      <c r="C86" s="121"/>
      <c r="D86" s="121"/>
      <c r="E86" s="121"/>
      <c r="F86" s="121"/>
      <c r="G86" s="121"/>
      <c r="H86" s="121"/>
      <c r="I86" s="121"/>
      <c r="J86" s="121"/>
      <c r="K86" s="121"/>
      <c r="L86" s="121"/>
      <c r="M86" s="121"/>
      <c r="N86" s="121"/>
      <c r="O86" s="121"/>
      <c r="P86" s="121"/>
      <c r="Q86" s="121"/>
      <c r="R86" s="121"/>
      <c r="S86" s="121"/>
      <c r="T86" s="122">
        <v>1.1299999999999999</v>
      </c>
      <c r="U86" s="122">
        <v>0.51</v>
      </c>
      <c r="V86" s="618">
        <v>0.74</v>
      </c>
      <c r="W86" s="122">
        <f t="shared" ref="W86:AG86" si="240">W85/T85-1</f>
        <v>0.19905213270142186</v>
      </c>
      <c r="X86" s="122">
        <f t="shared" si="240"/>
        <v>8.9430894308943021E-2</v>
      </c>
      <c r="Y86" s="618">
        <f t="shared" si="240"/>
        <v>0.14129244249726192</v>
      </c>
      <c r="Z86" s="122">
        <f>Z85/W85-1</f>
        <v>-0.28063241106719372</v>
      </c>
      <c r="AA86" s="122">
        <v>-0.14000000000000001</v>
      </c>
      <c r="AB86" s="618">
        <f t="shared" si="240"/>
        <v>-0.20345489443378117</v>
      </c>
      <c r="AC86" s="122">
        <f t="shared" si="240"/>
        <v>0.24175824175824179</v>
      </c>
      <c r="AD86" s="122">
        <f t="shared" si="240"/>
        <v>4.7210300429184393E-2</v>
      </c>
      <c r="AE86" s="618">
        <f t="shared" ref="AE86" si="241">AE85/AB85-1</f>
        <v>0.1325301204819278</v>
      </c>
      <c r="AF86" s="122">
        <f t="shared" si="240"/>
        <v>6.1946902654867131E-2</v>
      </c>
      <c r="AG86" s="122">
        <f t="shared" si="240"/>
        <v>2.0491803278688492E-2</v>
      </c>
      <c r="AH86" s="618">
        <f t="shared" ref="AH86:AM86" si="242">AH85/AE85-1</f>
        <v>4.042553191489362E-2</v>
      </c>
      <c r="AI86" s="122">
        <f t="shared" si="242"/>
        <v>-0.20833333333333337</v>
      </c>
      <c r="AJ86" s="122">
        <f t="shared" si="242"/>
        <v>-1.0963855421686748</v>
      </c>
      <c r="AK86" s="618">
        <f t="shared" si="242"/>
        <v>-0.66053169734151318</v>
      </c>
      <c r="AL86" s="122" t="s">
        <v>701</v>
      </c>
      <c r="AM86" s="122">
        <f t="shared" si="242"/>
        <v>-6.2083333333333339</v>
      </c>
      <c r="AN86" s="618">
        <f t="shared" ref="AN86:AR86" si="243">AN85/AK85-1</f>
        <v>-0.30722891566265065</v>
      </c>
      <c r="AO86" s="122" t="s">
        <v>701</v>
      </c>
      <c r="AP86" s="122">
        <f t="shared" si="243"/>
        <v>1.016</v>
      </c>
      <c r="AQ86" s="618">
        <f t="shared" si="243"/>
        <v>2.7739130434782608</v>
      </c>
      <c r="AR86" s="122">
        <f t="shared" si="243"/>
        <v>-0.1648351648351648</v>
      </c>
      <c r="AS86" s="122">
        <f t="shared" ref="AS86" si="244">AS85/AP85-1</f>
        <v>-0.46388202899588338</v>
      </c>
      <c r="AT86" s="618">
        <f t="shared" ref="AT86" si="245">AT85/AQ85-1</f>
        <v>-0.33842287424888284</v>
      </c>
      <c r="AU86" s="122">
        <v>-0.63</v>
      </c>
      <c r="AV86" s="122">
        <f>AV85/AS85-1</f>
        <v>-0.94956462048119106</v>
      </c>
      <c r="AW86" s="618">
        <f>AW85/AT85-1</f>
        <v>-0.77678365726546916</v>
      </c>
      <c r="AX86" s="122">
        <f t="shared" ref="AX86:AZ86" si="246">AX85/AU85-1</f>
        <v>-2.142673340036592</v>
      </c>
      <c r="AY86" s="122">
        <f t="shared" si="246"/>
        <v>0.1135043653831822</v>
      </c>
      <c r="AZ86" s="618">
        <f t="shared" si="246"/>
        <v>-1.8978667482011824</v>
      </c>
    </row>
    <row r="87" spans="2:52" s="417" customFormat="1" ht="14.5" x14ac:dyDescent="0.3">
      <c r="B87" s="418" t="s">
        <v>110</v>
      </c>
      <c r="C87" s="413"/>
      <c r="D87" s="413"/>
      <c r="E87" s="413"/>
      <c r="F87" s="413"/>
      <c r="G87" s="413"/>
      <c r="H87" s="413"/>
      <c r="I87" s="413"/>
      <c r="J87" s="413"/>
      <c r="K87" s="413"/>
      <c r="L87" s="413"/>
      <c r="M87" s="413"/>
      <c r="N87" s="413"/>
      <c r="O87" s="413"/>
      <c r="P87" s="413"/>
      <c r="Q87" s="413"/>
      <c r="R87" s="413"/>
      <c r="S87" s="413"/>
      <c r="T87" s="414">
        <v>1.1313131313131315</v>
      </c>
      <c r="U87" s="414">
        <v>0.50920245398773001</v>
      </c>
      <c r="V87" s="416">
        <f t="shared" ref="V87:AG87" si="247">V86</f>
        <v>0.74</v>
      </c>
      <c r="W87" s="415">
        <f t="shared" si="247"/>
        <v>0.19905213270142186</v>
      </c>
      <c r="X87" s="415">
        <f t="shared" si="247"/>
        <v>8.9430894308943021E-2</v>
      </c>
      <c r="Y87" s="416">
        <f t="shared" si="247"/>
        <v>0.14129244249726192</v>
      </c>
      <c r="Z87" s="415">
        <f t="shared" si="247"/>
        <v>-0.28063241106719372</v>
      </c>
      <c r="AA87" s="415">
        <f t="shared" si="247"/>
        <v>-0.14000000000000001</v>
      </c>
      <c r="AB87" s="416">
        <f t="shared" si="247"/>
        <v>-0.20345489443378117</v>
      </c>
      <c r="AC87" s="415">
        <v>0.24</v>
      </c>
      <c r="AD87" s="415">
        <f t="shared" si="247"/>
        <v>4.7210300429184393E-2</v>
      </c>
      <c r="AE87" s="416">
        <f t="shared" si="247"/>
        <v>0.1325301204819278</v>
      </c>
      <c r="AF87" s="415">
        <f t="shared" si="247"/>
        <v>6.1946902654867131E-2</v>
      </c>
      <c r="AG87" s="436">
        <f t="shared" si="247"/>
        <v>2.0491803278688492E-2</v>
      </c>
      <c r="AH87" s="416">
        <v>0.04</v>
      </c>
      <c r="AI87" s="415">
        <v>-0.21</v>
      </c>
      <c r="AJ87" s="415">
        <v>-1.1000000000000001</v>
      </c>
      <c r="AK87" s="416">
        <v>-0.66</v>
      </c>
      <c r="AL87" s="415" t="s">
        <v>701</v>
      </c>
      <c r="AM87" s="415">
        <v>6.19</v>
      </c>
      <c r="AN87" s="416">
        <v>-0.31</v>
      </c>
      <c r="AO87" s="415" t="s">
        <v>701</v>
      </c>
      <c r="AP87" s="415">
        <v>1.02</v>
      </c>
      <c r="AQ87" s="416">
        <v>2.77</v>
      </c>
      <c r="AR87" s="415">
        <v>-0.16</v>
      </c>
      <c r="AS87" s="415">
        <v>-0.47</v>
      </c>
      <c r="AT87" s="416">
        <v>-0.34</v>
      </c>
      <c r="AU87" s="415">
        <v>-0.63</v>
      </c>
      <c r="AV87" s="415">
        <f>[1]Interims!BO270</f>
        <v>-0.94956462048119106</v>
      </c>
      <c r="AW87" s="416">
        <f>[1]Interims!BP270</f>
        <v>-0.77700348432055744</v>
      </c>
      <c r="AX87" s="415">
        <f>[1]Interims!BQ270</f>
        <v>-2.1403508771929824</v>
      </c>
      <c r="AY87" s="415">
        <f>[1]Interims!BR270</f>
        <v>0</v>
      </c>
      <c r="AZ87" s="416">
        <f>[1]Interims!BS270</f>
        <v>-1.9062499999999998</v>
      </c>
    </row>
    <row r="88" spans="2:52" s="411" customFormat="1" ht="13" x14ac:dyDescent="0.3">
      <c r="B88" s="432" t="s">
        <v>111</v>
      </c>
      <c r="C88" s="409"/>
      <c r="D88" s="409"/>
      <c r="E88" s="409"/>
      <c r="F88" s="409"/>
      <c r="G88" s="409"/>
      <c r="H88" s="409"/>
      <c r="I88" s="409"/>
      <c r="J88" s="409"/>
      <c r="K88" s="409"/>
      <c r="L88" s="409"/>
      <c r="M88" s="409"/>
      <c r="N88" s="409"/>
      <c r="O88" s="409"/>
      <c r="P88" s="409"/>
      <c r="Q88" s="409"/>
      <c r="R88" s="409"/>
      <c r="S88" s="409"/>
      <c r="T88" s="410">
        <v>0</v>
      </c>
      <c r="U88" s="410">
        <v>0</v>
      </c>
      <c r="V88" s="439">
        <v>0</v>
      </c>
      <c r="W88" s="434">
        <v>0</v>
      </c>
      <c r="X88" s="434">
        <v>0</v>
      </c>
      <c r="Y88" s="439">
        <v>0</v>
      </c>
      <c r="Z88" s="434">
        <v>0</v>
      </c>
      <c r="AA88" s="434">
        <v>0</v>
      </c>
      <c r="AB88" s="439">
        <v>0</v>
      </c>
      <c r="AC88" s="434">
        <v>0</v>
      </c>
      <c r="AD88" s="434">
        <v>0</v>
      </c>
      <c r="AE88" s="439">
        <v>0</v>
      </c>
      <c r="AF88" s="434">
        <v>0</v>
      </c>
      <c r="AG88" s="434">
        <v>0</v>
      </c>
      <c r="AH88" s="439">
        <v>0</v>
      </c>
      <c r="AI88" s="434">
        <v>0</v>
      </c>
      <c r="AJ88" s="434">
        <v>0</v>
      </c>
      <c r="AK88" s="439">
        <v>0</v>
      </c>
      <c r="AL88" s="434">
        <v>0</v>
      </c>
      <c r="AM88" s="434">
        <v>0</v>
      </c>
      <c r="AN88" s="439">
        <v>0</v>
      </c>
      <c r="AO88" s="434">
        <v>0</v>
      </c>
      <c r="AP88" s="434">
        <v>0</v>
      </c>
      <c r="AQ88" s="439">
        <v>0</v>
      </c>
      <c r="AR88" s="434">
        <f t="shared" ref="AR88:AT88" si="248">(1+AR86)/(1+AR87)-1</f>
        <v>-5.7561486132914341E-3</v>
      </c>
      <c r="AS88" s="434">
        <f t="shared" si="248"/>
        <v>1.1543341517201045E-2</v>
      </c>
      <c r="AT88" s="439">
        <f t="shared" si="248"/>
        <v>2.3895844713897052E-3</v>
      </c>
      <c r="AU88" s="434">
        <v>0</v>
      </c>
      <c r="AV88" s="434">
        <f>AV86-AV87</f>
        <v>0</v>
      </c>
      <c r="AW88" s="439">
        <f>AW86-AW87</f>
        <v>2.1982705508827305E-4</v>
      </c>
      <c r="AX88" s="434">
        <f t="shared" ref="AX88:AZ88" si="249">AX86-AX87</f>
        <v>-2.3224628436095962E-3</v>
      </c>
      <c r="AY88" s="434">
        <f t="shared" si="249"/>
        <v>0.1135043653831822</v>
      </c>
      <c r="AZ88" s="439">
        <f t="shared" si="249"/>
        <v>8.3832517988173816E-3</v>
      </c>
    </row>
    <row r="89" spans="2:52" s="142" customFormat="1" x14ac:dyDescent="0.3">
      <c r="B89" s="570" t="s">
        <v>114</v>
      </c>
      <c r="C89" s="570"/>
      <c r="D89" s="570"/>
      <c r="E89" s="570"/>
      <c r="F89" s="570"/>
      <c r="G89" s="570"/>
      <c r="H89" s="570"/>
      <c r="I89" s="570"/>
      <c r="J89" s="570"/>
      <c r="K89" s="570"/>
      <c r="L89" s="570"/>
      <c r="M89" s="570"/>
      <c r="N89" s="570"/>
      <c r="O89" s="570"/>
      <c r="P89" s="570"/>
      <c r="Q89" s="570"/>
      <c r="R89" s="570"/>
      <c r="S89" s="570"/>
      <c r="T89" s="314">
        <v>5.5</v>
      </c>
      <c r="U89" s="314">
        <v>9.3000000000000007</v>
      </c>
      <c r="V89" s="555">
        <v>14.75</v>
      </c>
      <c r="W89" s="314">
        <v>9.2999999999999972</v>
      </c>
      <c r="X89" s="314">
        <v>12.4</v>
      </c>
      <c r="Y89" s="555">
        <v>21.7</v>
      </c>
      <c r="Z89" s="314">
        <v>13.1</v>
      </c>
      <c r="AA89" s="314">
        <v>13.6</v>
      </c>
      <c r="AB89" s="555">
        <v>26.7</v>
      </c>
      <c r="AC89" s="314">
        <v>18.7</v>
      </c>
      <c r="AD89" s="314">
        <v>22.6</v>
      </c>
      <c r="AE89" s="555">
        <v>41.3</v>
      </c>
      <c r="AF89" s="314">
        <v>19.3</v>
      </c>
      <c r="AG89" s="314">
        <v>22.9</v>
      </c>
      <c r="AH89" s="555">
        <v>42.2</v>
      </c>
      <c r="AI89" s="314">
        <v>15.6</v>
      </c>
      <c r="AJ89" s="571">
        <v>1.4</v>
      </c>
      <c r="AK89" s="555">
        <v>17</v>
      </c>
      <c r="AL89" s="571">
        <v>0.1</v>
      </c>
      <c r="AM89" s="571">
        <v>12.4</v>
      </c>
      <c r="AN89" s="555">
        <v>12.5</v>
      </c>
      <c r="AO89" s="571">
        <v>21.1</v>
      </c>
      <c r="AP89" s="571">
        <v>18.399999999999999</v>
      </c>
      <c r="AQ89" s="555">
        <v>39.5</v>
      </c>
      <c r="AR89" s="571">
        <v>20.8</v>
      </c>
      <c r="AS89" s="571">
        <v>15.171704096555178</v>
      </c>
      <c r="AT89" s="555">
        <v>36.015261191845866</v>
      </c>
      <c r="AU89" s="571">
        <v>7.2</v>
      </c>
      <c r="AV89" s="571">
        <f>[1]Interims!BO62</f>
        <v>11.995963007750417</v>
      </c>
      <c r="AW89" s="555">
        <f>[1]Interims!BP62</f>
        <v>19.2</v>
      </c>
      <c r="AX89" s="571">
        <f>[1]Interims!BQ62</f>
        <v>3.0644082114310587</v>
      </c>
      <c r="AY89" s="571">
        <f>[1]Interims!BR62</f>
        <v>-7.3208946220285744</v>
      </c>
      <c r="AZ89" s="555">
        <f>[1]Interims!BS62</f>
        <v>-4.2564864105975158</v>
      </c>
    </row>
    <row r="90" spans="2:52" s="35" customFormat="1" ht="13" x14ac:dyDescent="0.3">
      <c r="B90" s="197" t="s">
        <v>560</v>
      </c>
      <c r="C90" s="121"/>
      <c r="D90" s="121"/>
      <c r="E90" s="121"/>
      <c r="F90" s="121"/>
      <c r="G90" s="121"/>
      <c r="H90" s="121"/>
      <c r="I90" s="121"/>
      <c r="J90" s="121"/>
      <c r="K90" s="121"/>
      <c r="L90" s="121"/>
      <c r="M90" s="121"/>
      <c r="N90" s="121"/>
      <c r="O90" s="121"/>
      <c r="P90" s="121"/>
      <c r="Q90" s="121"/>
      <c r="R90" s="121"/>
      <c r="S90" s="121"/>
      <c r="T90" s="122">
        <v>1.62</v>
      </c>
      <c r="U90" s="122">
        <v>0.79</v>
      </c>
      <c r="V90" s="618">
        <v>1.02</v>
      </c>
      <c r="W90" s="122">
        <f t="shared" ref="W90:AG90" si="250">W89/T89-1</f>
        <v>0.69090909090909047</v>
      </c>
      <c r="X90" s="122">
        <f t="shared" si="250"/>
        <v>0.33333333333333326</v>
      </c>
      <c r="Y90" s="618">
        <f t="shared" si="250"/>
        <v>0.471186440677966</v>
      </c>
      <c r="Z90" s="122">
        <f t="shared" si="250"/>
        <v>0.40860215053763471</v>
      </c>
      <c r="AA90" s="122">
        <f t="shared" si="250"/>
        <v>9.6774193548387011E-2</v>
      </c>
      <c r="AB90" s="618">
        <f t="shared" si="250"/>
        <v>0.23041474654377891</v>
      </c>
      <c r="AC90" s="122">
        <v>0.43</v>
      </c>
      <c r="AD90" s="122">
        <f t="shared" si="250"/>
        <v>0.66176470588235303</v>
      </c>
      <c r="AE90" s="618">
        <f t="shared" si="250"/>
        <v>0.54681647940074907</v>
      </c>
      <c r="AF90" s="122">
        <f t="shared" si="250"/>
        <v>3.2085561497326331E-2</v>
      </c>
      <c r="AG90" s="122">
        <f t="shared" si="250"/>
        <v>1.327433628318575E-2</v>
      </c>
      <c r="AH90" s="618">
        <f t="shared" ref="AH90:AR90" si="251">AH89/AE89-1</f>
        <v>2.1791767554479646E-2</v>
      </c>
      <c r="AI90" s="122">
        <f t="shared" si="251"/>
        <v>-0.19170984455958551</v>
      </c>
      <c r="AJ90" s="122">
        <f t="shared" si="251"/>
        <v>-0.93886462882096067</v>
      </c>
      <c r="AK90" s="618">
        <f t="shared" si="251"/>
        <v>-0.59715639810426535</v>
      </c>
      <c r="AL90" s="122">
        <f t="shared" si="251"/>
        <v>-0.99358974358974361</v>
      </c>
      <c r="AM90" s="122">
        <f t="shared" si="251"/>
        <v>7.8571428571428577</v>
      </c>
      <c r="AN90" s="618">
        <f t="shared" si="251"/>
        <v>-0.26470588235294112</v>
      </c>
      <c r="AO90" s="122" t="s">
        <v>701</v>
      </c>
      <c r="AP90" s="122">
        <f t="shared" si="251"/>
        <v>0.48387096774193528</v>
      </c>
      <c r="AQ90" s="618">
        <f t="shared" si="251"/>
        <v>2.16</v>
      </c>
      <c r="AR90" s="122">
        <f t="shared" si="251"/>
        <v>-1.4218009478673022E-2</v>
      </c>
      <c r="AS90" s="122">
        <v>-0.17</v>
      </c>
      <c r="AT90" s="618">
        <f t="shared" ref="AT90" si="252">AT89/AQ89-1</f>
        <v>-8.8221235649471708E-2</v>
      </c>
      <c r="AU90" s="122">
        <v>-0.65</v>
      </c>
      <c r="AV90" s="122">
        <f>AV89/AS89-1</f>
        <v>-0.20931999916382704</v>
      </c>
      <c r="AW90" s="618">
        <f>AW89/AT89-1</f>
        <v>-0.46689266259307238</v>
      </c>
      <c r="AX90" s="122">
        <f t="shared" ref="AX90:AZ90" si="253">AX89/AU89-1</f>
        <v>-0.57438774841235296</v>
      </c>
      <c r="AY90" s="122">
        <f t="shared" si="253"/>
        <v>-1.6102798597577077</v>
      </c>
      <c r="AZ90" s="618">
        <f t="shared" si="253"/>
        <v>-1.221692000551954</v>
      </c>
    </row>
    <row r="91" spans="2:52" s="417" customFormat="1" ht="14.5" x14ac:dyDescent="0.3">
      <c r="B91" s="418" t="s">
        <v>110</v>
      </c>
      <c r="C91" s="413"/>
      <c r="D91" s="413"/>
      <c r="E91" s="413"/>
      <c r="F91" s="413"/>
      <c r="G91" s="413"/>
      <c r="H91" s="413"/>
      <c r="I91" s="413"/>
      <c r="J91" s="413"/>
      <c r="K91" s="413"/>
      <c r="L91" s="413"/>
      <c r="M91" s="413"/>
      <c r="N91" s="413"/>
      <c r="O91" s="413"/>
      <c r="P91" s="413"/>
      <c r="Q91" s="413"/>
      <c r="R91" s="413"/>
      <c r="S91" s="413"/>
      <c r="T91" s="421"/>
      <c r="U91" s="421"/>
      <c r="V91" s="422"/>
      <c r="W91" s="435"/>
      <c r="X91" s="435"/>
      <c r="Y91" s="422"/>
      <c r="Z91" s="435"/>
      <c r="AA91" s="435"/>
      <c r="AB91" s="422"/>
      <c r="AC91" s="415">
        <v>0.39</v>
      </c>
      <c r="AD91" s="415">
        <v>0.64</v>
      </c>
      <c r="AE91" s="422">
        <v>0.51</v>
      </c>
      <c r="AF91" s="415">
        <v>0.04</v>
      </c>
      <c r="AG91" s="436">
        <v>0.01</v>
      </c>
      <c r="AH91" s="422">
        <v>0.02</v>
      </c>
      <c r="AI91" s="415">
        <v>-0.2</v>
      </c>
      <c r="AJ91" s="415">
        <v>-0.94</v>
      </c>
      <c r="AK91" s="422">
        <v>-0.6</v>
      </c>
      <c r="AL91" s="415">
        <v>-0.99</v>
      </c>
      <c r="AM91" s="415">
        <v>9.57</v>
      </c>
      <c r="AN91" s="422">
        <v>-0.26</v>
      </c>
      <c r="AO91" s="415" t="s">
        <v>701</v>
      </c>
      <c r="AP91" s="415">
        <v>0.53</v>
      </c>
      <c r="AQ91" s="422">
        <v>2.34</v>
      </c>
      <c r="AR91" s="415">
        <v>-7.0000000000000007E-2</v>
      </c>
      <c r="AS91" s="415">
        <v>-0.21</v>
      </c>
      <c r="AT91" s="422">
        <v>-0.14000000000000001</v>
      </c>
      <c r="AU91" s="415">
        <v>-0.65</v>
      </c>
      <c r="AV91" s="415">
        <f>[1]Interims!BO271</f>
        <v>-0.20931999916382704</v>
      </c>
      <c r="AW91" s="422">
        <f>[1]Interims!BP271</f>
        <v>-0.45913641629626811</v>
      </c>
      <c r="AX91" s="415">
        <f>[1]Interims!BQ271</f>
        <v>-0.55072463768115931</v>
      </c>
      <c r="AY91" s="415">
        <f>[1]Interims!BR271</f>
        <v>-1.62</v>
      </c>
      <c r="AZ91" s="422">
        <f>[1]Interims!BS271</f>
        <v>-1.2272765802512087</v>
      </c>
    </row>
    <row r="92" spans="2:52" s="411" customFormat="1" ht="14.5" x14ac:dyDescent="0.3">
      <c r="B92" s="432" t="s">
        <v>111</v>
      </c>
      <c r="C92" s="409"/>
      <c r="D92" s="409"/>
      <c r="E92" s="409"/>
      <c r="F92" s="409"/>
      <c r="G92" s="409"/>
      <c r="H92" s="409"/>
      <c r="I92" s="409"/>
      <c r="J92" s="409"/>
      <c r="K92" s="409"/>
      <c r="L92" s="409"/>
      <c r="M92" s="409"/>
      <c r="N92" s="409"/>
      <c r="O92" s="409"/>
      <c r="P92" s="409"/>
      <c r="Q92" s="409"/>
      <c r="R92" s="409"/>
      <c r="S92" s="409"/>
      <c r="T92" s="433"/>
      <c r="U92" s="433"/>
      <c r="V92" s="663"/>
      <c r="W92" s="437"/>
      <c r="X92" s="437"/>
      <c r="Y92" s="438"/>
      <c r="Z92" s="437"/>
      <c r="AA92" s="437"/>
      <c r="AB92" s="438"/>
      <c r="AC92" s="434">
        <f t="shared" ref="AC92" si="254">(1+AC90)/(1+AC91)-1</f>
        <v>2.8776978417266008E-2</v>
      </c>
      <c r="AD92" s="434">
        <f t="shared" ref="AD92" si="255">(1+AD90)/(1+AD91)-1</f>
        <v>1.327116212338586E-2</v>
      </c>
      <c r="AE92" s="438">
        <f t="shared" ref="AE92" si="256">(1+AE90)/(1+AE91)-1</f>
        <v>2.4381774437582049E-2</v>
      </c>
      <c r="AF92" s="434">
        <f t="shared" ref="AF92" si="257">(1+AF90)/(1+AF91)-1</f>
        <v>-7.61003702180163E-3</v>
      </c>
      <c r="AG92" s="434">
        <f t="shared" ref="AG92" si="258">(1+AG90)/(1+AG91)-1</f>
        <v>3.241917112065007E-3</v>
      </c>
      <c r="AH92" s="438">
        <f t="shared" ref="AH92:AM92" si="259">(1+AH90)/(1+AH91)-1</f>
        <v>1.7566348573330171E-3</v>
      </c>
      <c r="AI92" s="434">
        <f t="shared" si="259"/>
        <v>1.0362694300517949E-2</v>
      </c>
      <c r="AJ92" s="434">
        <f t="shared" si="259"/>
        <v>1.8922852983987992E-2</v>
      </c>
      <c r="AK92" s="438">
        <f t="shared" si="259"/>
        <v>7.1090047393365108E-3</v>
      </c>
      <c r="AL92" s="434">
        <v>0</v>
      </c>
      <c r="AM92" s="434">
        <f t="shared" si="259"/>
        <v>-0.16204892553047712</v>
      </c>
      <c r="AN92" s="438">
        <f t="shared" ref="AN92:AT92" si="260">(1+AN90)/(1+AN91)-1</f>
        <v>-6.3593004769474382E-3</v>
      </c>
      <c r="AO92" s="434" t="s">
        <v>701</v>
      </c>
      <c r="AP92" s="434">
        <f t="shared" si="260"/>
        <v>-3.0149694286316864E-2</v>
      </c>
      <c r="AQ92" s="438">
        <f t="shared" si="260"/>
        <v>-5.3892215568862145E-2</v>
      </c>
      <c r="AR92" s="434">
        <f t="shared" si="260"/>
        <v>5.9980634969168944E-2</v>
      </c>
      <c r="AS92" s="434">
        <f t="shared" si="260"/>
        <v>5.0632911392404889E-2</v>
      </c>
      <c r="AT92" s="438">
        <f t="shared" si="260"/>
        <v>6.020786552387003E-2</v>
      </c>
      <c r="AU92" s="434">
        <v>0</v>
      </c>
      <c r="AV92" s="434">
        <f>AV90-AV91</f>
        <v>0</v>
      </c>
      <c r="AW92" s="438">
        <f>AW90-AW91</f>
        <v>-7.75624629680427E-3</v>
      </c>
      <c r="AX92" s="434">
        <f t="shared" ref="AX92:AZ92" si="261">AX90-AX91</f>
        <v>-2.3663110731193648E-2</v>
      </c>
      <c r="AY92" s="434">
        <f t="shared" si="261"/>
        <v>9.7201402422923966E-3</v>
      </c>
      <c r="AZ92" s="438">
        <f t="shared" si="261"/>
        <v>5.5845796992546326E-3</v>
      </c>
    </row>
    <row r="93" spans="2:52" s="574" customFormat="1" x14ac:dyDescent="0.3">
      <c r="B93" s="619" t="s">
        <v>128</v>
      </c>
      <c r="C93" s="619"/>
      <c r="D93" s="619"/>
      <c r="E93" s="619"/>
      <c r="F93" s="619"/>
      <c r="G93" s="619"/>
      <c r="H93" s="619"/>
      <c r="I93" s="619"/>
      <c r="J93" s="619"/>
      <c r="K93" s="619"/>
      <c r="L93" s="619"/>
      <c r="M93" s="619"/>
      <c r="N93" s="619"/>
      <c r="O93" s="619"/>
      <c r="P93" s="619"/>
      <c r="Q93" s="619"/>
      <c r="R93" s="619"/>
      <c r="S93" s="619"/>
      <c r="T93" s="316">
        <v>81.5</v>
      </c>
      <c r="U93" s="316">
        <f>V93-T93+0.05</f>
        <v>82.649999999999991</v>
      </c>
      <c r="V93" s="600">
        <v>164.1</v>
      </c>
      <c r="W93" s="316">
        <f t="shared" ref="W93:AL93" si="262">SUM(W77,W81,W85,W89)</f>
        <v>86.3</v>
      </c>
      <c r="X93" s="316">
        <f t="shared" si="262"/>
        <v>94.7</v>
      </c>
      <c r="Y93" s="600">
        <f t="shared" si="262"/>
        <v>181</v>
      </c>
      <c r="Z93" s="316">
        <f t="shared" si="262"/>
        <v>100.1</v>
      </c>
      <c r="AA93" s="316">
        <f t="shared" si="262"/>
        <v>111.39999999999999</v>
      </c>
      <c r="AB93" s="600">
        <f t="shared" si="262"/>
        <v>211.5</v>
      </c>
      <c r="AC93" s="316">
        <f t="shared" si="262"/>
        <v>116.53000000000002</v>
      </c>
      <c r="AD93" s="316">
        <f t="shared" si="262"/>
        <v>126.89999999999998</v>
      </c>
      <c r="AE93" s="600">
        <f t="shared" si="262"/>
        <v>243.39999999999998</v>
      </c>
      <c r="AF93" s="316">
        <f t="shared" si="262"/>
        <v>124.10000000000001</v>
      </c>
      <c r="AG93" s="316">
        <f t="shared" si="262"/>
        <v>124.70000000000002</v>
      </c>
      <c r="AH93" s="600">
        <f>SUM(AH77,AH81,AH85,AH89)</f>
        <v>248.8</v>
      </c>
      <c r="AI93" s="316">
        <f t="shared" si="262"/>
        <v>100.1</v>
      </c>
      <c r="AJ93" s="316">
        <f t="shared" si="262"/>
        <v>34.9</v>
      </c>
      <c r="AK93" s="600">
        <f>SUM(AK77,AK81,AK85,AK89)</f>
        <v>135</v>
      </c>
      <c r="AL93" s="316">
        <f t="shared" si="262"/>
        <v>25.1</v>
      </c>
      <c r="AM93" s="620">
        <v>70</v>
      </c>
      <c r="AN93" s="600">
        <v>95.1</v>
      </c>
      <c r="AO93" s="316">
        <f t="shared" ref="AO93" si="263">SUM(AO77,AO81,AO85,AO89)</f>
        <v>101.6</v>
      </c>
      <c r="AP93" s="620">
        <v>108.5</v>
      </c>
      <c r="AQ93" s="600">
        <v>210.1</v>
      </c>
      <c r="AR93" s="316">
        <v>97</v>
      </c>
      <c r="AS93" s="620">
        <v>100.02515591897759</v>
      </c>
      <c r="AT93" s="600">
        <v>197.02515591897759</v>
      </c>
      <c r="AU93" s="316">
        <v>60.1</v>
      </c>
      <c r="AV93" s="620">
        <f>[1]Interims!BO63</f>
        <v>44.95826216463022</v>
      </c>
      <c r="AW93" s="600">
        <f>[1]Interims!BP63</f>
        <v>105.07826927737115</v>
      </c>
      <c r="AX93" s="316">
        <f>[1]Interims!BQ63</f>
        <v>25.457472957052801</v>
      </c>
      <c r="AY93" s="620">
        <f>[1]Interims!BR63</f>
        <v>20.191647714993781</v>
      </c>
      <c r="AZ93" s="600">
        <f>[1]Interims!BS63</f>
        <v>45.649120672046578</v>
      </c>
    </row>
    <row r="94" spans="2:52" s="35" customFormat="1" ht="13" x14ac:dyDescent="0.3">
      <c r="B94" s="197" t="s">
        <v>109</v>
      </c>
      <c r="C94" s="121"/>
      <c r="D94" s="121"/>
      <c r="E94" s="121"/>
      <c r="F94" s="121"/>
      <c r="G94" s="121"/>
      <c r="H94" s="121"/>
      <c r="I94" s="121"/>
      <c r="J94" s="121"/>
      <c r="K94" s="121"/>
      <c r="L94" s="121"/>
      <c r="M94" s="121"/>
      <c r="N94" s="121"/>
      <c r="O94" s="121"/>
      <c r="P94" s="121"/>
      <c r="Q94" s="121"/>
      <c r="R94" s="121"/>
      <c r="S94" s="121"/>
      <c r="T94" s="122">
        <v>0.22</v>
      </c>
      <c r="U94" s="122">
        <v>0.12</v>
      </c>
      <c r="V94" s="617">
        <v>0.17</v>
      </c>
      <c r="W94" s="122">
        <f t="shared" ref="W94:AB94" si="264">W93/T93-1</f>
        <v>5.8895705521472275E-2</v>
      </c>
      <c r="X94" s="122">
        <f t="shared" si="264"/>
        <v>0.14579552329098622</v>
      </c>
      <c r="Y94" s="617">
        <f t="shared" si="264"/>
        <v>0.10298598415600257</v>
      </c>
      <c r="Z94" s="122">
        <f t="shared" si="264"/>
        <v>0.15990730011587484</v>
      </c>
      <c r="AA94" s="122">
        <f t="shared" si="264"/>
        <v>0.17634635691657863</v>
      </c>
      <c r="AB94" s="617">
        <f t="shared" si="264"/>
        <v>0.16850828729281764</v>
      </c>
      <c r="AC94" s="122">
        <f t="shared" ref="AC94:AR94" si="265">AC93/Z93-1</f>
        <v>0.16413586413586434</v>
      </c>
      <c r="AD94" s="122">
        <f t="shared" si="265"/>
        <v>0.13913824057450608</v>
      </c>
      <c r="AE94" s="617">
        <f t="shared" si="265"/>
        <v>0.15082742316784858</v>
      </c>
      <c r="AF94" s="122">
        <f t="shared" si="265"/>
        <v>6.4961812408821595E-2</v>
      </c>
      <c r="AG94" s="122">
        <f t="shared" si="265"/>
        <v>-1.7336485421591497E-2</v>
      </c>
      <c r="AH94" s="617">
        <f t="shared" si="265"/>
        <v>2.2185702547247388E-2</v>
      </c>
      <c r="AI94" s="122">
        <f t="shared" si="265"/>
        <v>-0.19339242546333613</v>
      </c>
      <c r="AJ94" s="122">
        <f t="shared" si="265"/>
        <v>-0.7201283079390538</v>
      </c>
      <c r="AK94" s="617">
        <f t="shared" si="265"/>
        <v>-0.457395498392283</v>
      </c>
      <c r="AL94" s="122">
        <f t="shared" si="265"/>
        <v>-0.74925074925074919</v>
      </c>
      <c r="AM94" s="122">
        <f t="shared" si="265"/>
        <v>1.005730659025788</v>
      </c>
      <c r="AN94" s="617">
        <f t="shared" si="265"/>
        <v>-0.29555555555555557</v>
      </c>
      <c r="AO94" s="122">
        <f t="shared" si="265"/>
        <v>3.047808764940239</v>
      </c>
      <c r="AP94" s="122">
        <f t="shared" si="265"/>
        <v>0.55000000000000004</v>
      </c>
      <c r="AQ94" s="617">
        <f t="shared" si="265"/>
        <v>1.2092534174553102</v>
      </c>
      <c r="AR94" s="122">
        <f t="shared" si="265"/>
        <v>-4.5275590551181022E-2</v>
      </c>
      <c r="AS94" s="122">
        <f t="shared" ref="AS94" si="266">AS93/AP93-1</f>
        <v>-7.8109162037072966E-2</v>
      </c>
      <c r="AT94" s="617">
        <f t="shared" ref="AT94" si="267">AT93/AQ93-1</f>
        <v>-6.223152822952116E-2</v>
      </c>
      <c r="AU94" s="122">
        <v>-0.38</v>
      </c>
      <c r="AV94" s="122">
        <f>AV93/AS93-1</f>
        <v>-0.55053044655039252</v>
      </c>
      <c r="AW94" s="617">
        <f>AW93/AT93-1</f>
        <v>-0.46667587300079405</v>
      </c>
      <c r="AX94" s="122">
        <f t="shared" ref="AX94:AZ94" si="268">AX93/AU93-1</f>
        <v>-0.57641475945003662</v>
      </c>
      <c r="AY94" s="122">
        <f t="shared" si="268"/>
        <v>-0.5508801554416165</v>
      </c>
      <c r="AZ94" s="617">
        <f t="shared" si="268"/>
        <v>-0.56557030310854928</v>
      </c>
    </row>
    <row r="95" spans="2:52" s="417" customFormat="1" ht="14.5" x14ac:dyDescent="0.3">
      <c r="B95" s="418" t="s">
        <v>110</v>
      </c>
      <c r="C95" s="413"/>
      <c r="D95" s="413"/>
      <c r="E95" s="413"/>
      <c r="F95" s="413"/>
      <c r="G95" s="413"/>
      <c r="H95" s="413"/>
      <c r="I95" s="413"/>
      <c r="J95" s="413"/>
      <c r="K95" s="413"/>
      <c r="L95" s="413"/>
      <c r="M95" s="413"/>
      <c r="N95" s="413"/>
      <c r="O95" s="413"/>
      <c r="P95" s="413"/>
      <c r="Q95" s="413"/>
      <c r="R95" s="413"/>
      <c r="S95" s="413"/>
      <c r="T95" s="414">
        <v>0.3</v>
      </c>
      <c r="U95" s="435"/>
      <c r="V95" s="416">
        <v>0.25</v>
      </c>
      <c r="W95" s="415">
        <v>0.15</v>
      </c>
      <c r="X95" s="435"/>
      <c r="Y95" s="416">
        <v>0.13</v>
      </c>
      <c r="Z95" s="415">
        <v>-0.01</v>
      </c>
      <c r="AA95" s="415">
        <v>0.02</v>
      </c>
      <c r="AB95" s="416">
        <v>0.01</v>
      </c>
      <c r="AC95" s="415">
        <v>0.14000000000000001</v>
      </c>
      <c r="AD95" s="415">
        <v>0.15</v>
      </c>
      <c r="AE95" s="416">
        <v>0.15</v>
      </c>
      <c r="AF95" s="415">
        <v>0.09</v>
      </c>
      <c r="AG95" s="415">
        <v>-0.01</v>
      </c>
      <c r="AH95" s="416">
        <v>0.04</v>
      </c>
      <c r="AI95" s="415">
        <v>-0.18</v>
      </c>
      <c r="AJ95" s="415">
        <v>-0.72</v>
      </c>
      <c r="AK95" s="416">
        <v>-0.45</v>
      </c>
      <c r="AL95" s="415">
        <v>-0.75</v>
      </c>
      <c r="AM95" s="415">
        <v>0.96</v>
      </c>
      <c r="AN95" s="416">
        <v>-0.31</v>
      </c>
      <c r="AO95" s="415">
        <v>3.27</v>
      </c>
      <c r="AP95" s="415">
        <v>0.57999999999999996</v>
      </c>
      <c r="AQ95" s="416">
        <v>1.28</v>
      </c>
      <c r="AR95" s="415">
        <v>-0.08</v>
      </c>
      <c r="AS95" s="415">
        <v>-0.1</v>
      </c>
      <c r="AT95" s="416">
        <v>-0.09</v>
      </c>
      <c r="AU95" s="415">
        <v>-0.37</v>
      </c>
      <c r="AV95" s="415">
        <f>[1]Interims!BO272</f>
        <v>-0.5500570226573781</v>
      </c>
      <c r="AW95" s="416">
        <f>[1]Interims!BP272</f>
        <v>-0.45515313981679961</v>
      </c>
      <c r="AX95" s="415">
        <f>[1]Interims!BQ272</f>
        <v>-0.56410256410256399</v>
      </c>
      <c r="AY95" s="415">
        <f>[1]Interims!BR272</f>
        <v>-0.54</v>
      </c>
      <c r="AZ95" s="416">
        <f>[1]Interims!BS272</f>
        <v>-0.55545942001056892</v>
      </c>
    </row>
    <row r="96" spans="2:52" s="411" customFormat="1" ht="13" x14ac:dyDescent="0.3">
      <c r="B96" s="432" t="s">
        <v>111</v>
      </c>
      <c r="C96" s="409"/>
      <c r="D96" s="409"/>
      <c r="E96" s="409"/>
      <c r="F96" s="409"/>
      <c r="G96" s="409"/>
      <c r="H96" s="409"/>
      <c r="I96" s="409"/>
      <c r="J96" s="409"/>
      <c r="K96" s="409"/>
      <c r="L96" s="409"/>
      <c r="M96" s="409"/>
      <c r="N96" s="409"/>
      <c r="O96" s="409"/>
      <c r="P96" s="409"/>
      <c r="Q96" s="409"/>
      <c r="R96" s="409"/>
      <c r="S96" s="409"/>
      <c r="T96" s="410">
        <f t="shared" ref="T96" si="269">(1+T94)/(1+T95)-1</f>
        <v>-6.1538461538461542E-2</v>
      </c>
      <c r="U96" s="437"/>
      <c r="V96" s="439">
        <f t="shared" ref="V96" si="270">(1+V94)/(1+V95)-1</f>
        <v>-6.4000000000000057E-2</v>
      </c>
      <c r="W96" s="434">
        <f t="shared" ref="W96" si="271">(1+W94)/(1+W95)-1</f>
        <v>-7.9221125633502254E-2</v>
      </c>
      <c r="X96" s="437"/>
      <c r="Y96" s="439">
        <f t="shared" ref="Y96" si="272">(1+Y94)/(1+Y95)-1</f>
        <v>-2.3906208711502064E-2</v>
      </c>
      <c r="Z96" s="434">
        <f t="shared" ref="Z96" si="273">(1+Z94)/(1+Z95)-1</f>
        <v>0.17162353547058062</v>
      </c>
      <c r="AA96" s="434">
        <f t="shared" ref="AA96" si="274">(1+AA94)/(1+AA95)-1</f>
        <v>0.15328074207507703</v>
      </c>
      <c r="AB96" s="439">
        <f t="shared" ref="AB96" si="275">(1+AB94)/(1+AB95)-1</f>
        <v>0.15693889830972041</v>
      </c>
      <c r="AC96" s="434">
        <f t="shared" ref="AC96" si="276">(1+AC94)/(1+AC95)-1</f>
        <v>2.1171810645495004E-2</v>
      </c>
      <c r="AD96" s="434">
        <f t="shared" ref="AD96" si="277">(1+AD94)/(1+AD95)-1</f>
        <v>-9.4450081960816279E-3</v>
      </c>
      <c r="AE96" s="439">
        <f t="shared" ref="AE96" si="278">(1+AE94)/(1+AE95)-1</f>
        <v>7.1949840682483668E-4</v>
      </c>
      <c r="AF96" s="434">
        <f t="shared" ref="AF96" si="279">(1+AF94)/(1+AF95)-1</f>
        <v>-2.297081430383352E-2</v>
      </c>
      <c r="AG96" s="434">
        <f t="shared" ref="AG96" si="280">(1+AG94)/(1+AG95)-1</f>
        <v>-7.4105913349409303E-3</v>
      </c>
      <c r="AH96" s="439">
        <f t="shared" ref="AH96:AQ96" si="281">(1+AH94)/(1+AH95)-1</f>
        <v>-1.7129132166108341E-2</v>
      </c>
      <c r="AI96" s="434">
        <f t="shared" si="281"/>
        <v>-1.6332226174800235E-2</v>
      </c>
      <c r="AJ96" s="434">
        <f t="shared" si="281"/>
        <v>-4.5824263947791266E-4</v>
      </c>
      <c r="AK96" s="439">
        <f t="shared" si="281"/>
        <v>-1.3446360713241901E-2</v>
      </c>
      <c r="AL96" s="434">
        <v>0</v>
      </c>
      <c r="AM96" s="434">
        <f t="shared" si="281"/>
        <v>2.3331968890708099E-2</v>
      </c>
      <c r="AN96" s="439">
        <f t="shared" ref="AN96" si="282">(1+AN94)/(1+AN95)-1</f>
        <v>2.0933977455716679E-2</v>
      </c>
      <c r="AO96" s="434">
        <f t="shared" si="281"/>
        <v>-5.2035418046782356E-2</v>
      </c>
      <c r="AP96" s="434">
        <f t="shared" si="281"/>
        <v>-1.8987341772151889E-2</v>
      </c>
      <c r="AQ96" s="439">
        <f t="shared" si="281"/>
        <v>-3.1029202870478056E-2</v>
      </c>
      <c r="AR96" s="434">
        <f>AR94-AR95</f>
        <v>3.472440944881898E-2</v>
      </c>
      <c r="AS96" s="434">
        <f t="shared" ref="AS96:AT96" si="283">AS94-AS95</f>
        <v>2.189083796292704E-2</v>
      </c>
      <c r="AT96" s="439">
        <f t="shared" si="283"/>
        <v>2.7768471770478836E-2</v>
      </c>
      <c r="AU96" s="434">
        <v>-0.01</v>
      </c>
      <c r="AV96" s="434">
        <f>AV94-AV95</f>
        <v>-4.7342389301441301E-4</v>
      </c>
      <c r="AW96" s="439">
        <f>AW94-AW95</f>
        <v>-1.1522733183994438E-2</v>
      </c>
      <c r="AX96" s="434">
        <f t="shared" ref="AX96:AZ96" si="284">AX94-AX95</f>
        <v>-1.2312195347472632E-2</v>
      </c>
      <c r="AY96" s="434">
        <f t="shared" si="284"/>
        <v>-1.0880155441616468E-2</v>
      </c>
      <c r="AZ96" s="439">
        <f t="shared" si="284"/>
        <v>-1.0110883097980361E-2</v>
      </c>
    </row>
    <row r="97" spans="2:52" s="17" customFormat="1" x14ac:dyDescent="0.3">
      <c r="T97" s="296"/>
      <c r="U97" s="294"/>
      <c r="V97" s="297">
        <f>V93</f>
        <v>164.1</v>
      </c>
      <c r="W97" s="294"/>
      <c r="X97" s="294"/>
      <c r="Y97" s="297">
        <f>Y93</f>
        <v>181</v>
      </c>
      <c r="Z97" s="294"/>
      <c r="AA97" s="294"/>
      <c r="AB97" s="297">
        <f>AB93</f>
        <v>211.5</v>
      </c>
      <c r="AC97" s="294"/>
      <c r="AD97" s="294"/>
      <c r="AE97" s="297">
        <f>AE93</f>
        <v>243.39999999999998</v>
      </c>
      <c r="AF97" s="294"/>
      <c r="AG97" s="294"/>
      <c r="AH97" s="297">
        <f>AH93</f>
        <v>248.8</v>
      </c>
      <c r="AI97" s="312"/>
      <c r="AJ97" s="36"/>
      <c r="AK97" s="297">
        <f>AK93</f>
        <v>135</v>
      </c>
      <c r="AL97" s="36"/>
      <c r="AM97" s="36"/>
      <c r="AN97" s="297">
        <f>AN93</f>
        <v>95.1</v>
      </c>
      <c r="AO97" s="36"/>
      <c r="AP97" s="36"/>
      <c r="AQ97" s="297">
        <f>AQ93</f>
        <v>210.1</v>
      </c>
      <c r="AR97" s="36"/>
      <c r="AS97" s="36"/>
      <c r="AT97" s="297"/>
      <c r="AU97" s="36"/>
      <c r="AV97" s="36"/>
      <c r="AW97" s="297"/>
      <c r="AX97" s="36"/>
      <c r="AY97" s="36"/>
      <c r="AZ97" s="297"/>
    </row>
    <row r="98" spans="2:52" s="407" customFormat="1" x14ac:dyDescent="0.3">
      <c r="B98" s="404" t="s">
        <v>600</v>
      </c>
      <c r="C98" s="405"/>
      <c r="D98" s="405"/>
      <c r="E98" s="405"/>
      <c r="F98" s="405"/>
      <c r="G98" s="405"/>
      <c r="H98" s="405"/>
      <c r="I98" s="405"/>
      <c r="J98" s="405"/>
      <c r="K98" s="405"/>
      <c r="L98" s="405"/>
      <c r="M98" s="405"/>
      <c r="N98" s="405"/>
      <c r="O98" s="405"/>
      <c r="P98" s="405"/>
      <c r="Q98" s="405"/>
      <c r="R98" s="405"/>
      <c r="S98" s="405"/>
      <c r="T98" s="406">
        <f t="shared" ref="T98:AH98" si="285">T103</f>
        <v>0.21229486845532691</v>
      </c>
      <c r="U98" s="406">
        <f t="shared" si="285"/>
        <v>0.21732842492768864</v>
      </c>
      <c r="V98" s="406">
        <f t="shared" si="285"/>
        <v>0.21473436273226901</v>
      </c>
      <c r="W98" s="406">
        <f t="shared" si="285"/>
        <v>0.21743512219702696</v>
      </c>
      <c r="X98" s="406">
        <f t="shared" si="285"/>
        <v>0.22907595549104984</v>
      </c>
      <c r="Y98" s="406">
        <f t="shared" si="285"/>
        <v>0.22337405899049737</v>
      </c>
      <c r="Z98" s="406">
        <f t="shared" si="285"/>
        <v>0.21503759398496239</v>
      </c>
      <c r="AA98" s="406">
        <f t="shared" si="285"/>
        <v>0.22776528317317518</v>
      </c>
      <c r="AB98" s="406">
        <f t="shared" si="285"/>
        <v>0.22155876807039596</v>
      </c>
      <c r="AC98" s="406">
        <f t="shared" si="285"/>
        <v>0.22162419170787376</v>
      </c>
      <c r="AD98" s="406">
        <f t="shared" si="285"/>
        <v>0.23199268738574036</v>
      </c>
      <c r="AE98" s="406">
        <f t="shared" si="285"/>
        <v>0.22688292319164802</v>
      </c>
      <c r="AF98" s="406">
        <f t="shared" si="285"/>
        <v>0.21848591549295776</v>
      </c>
      <c r="AG98" s="406">
        <f t="shared" si="285"/>
        <v>0.22200462880541216</v>
      </c>
      <c r="AH98" s="406">
        <f t="shared" si="285"/>
        <v>0.22023546074178985</v>
      </c>
      <c r="AJ98" s="405"/>
      <c r="AK98" s="406"/>
      <c r="AL98" s="405"/>
      <c r="AM98" s="405"/>
      <c r="AN98" s="406"/>
      <c r="AP98" s="405"/>
      <c r="AQ98" s="406"/>
      <c r="AS98" s="405"/>
      <c r="AT98" s="406"/>
      <c r="AV98" s="405"/>
      <c r="AW98" s="406"/>
      <c r="AY98" s="405"/>
      <c r="AZ98" s="406"/>
    </row>
    <row r="99" spans="2:52" s="589" customFormat="1" x14ac:dyDescent="0.3">
      <c r="B99" s="570" t="s">
        <v>473</v>
      </c>
      <c r="C99" s="615" t="s">
        <v>137</v>
      </c>
      <c r="D99" s="586"/>
      <c r="E99" s="586"/>
      <c r="F99" s="586"/>
      <c r="G99" s="586"/>
      <c r="H99" s="586"/>
      <c r="I99" s="586"/>
      <c r="J99" s="586"/>
      <c r="K99" s="586"/>
      <c r="L99" s="586"/>
      <c r="M99" s="586"/>
      <c r="N99" s="586"/>
      <c r="O99" s="586"/>
      <c r="P99" s="586"/>
      <c r="Q99" s="586"/>
      <c r="R99" s="586"/>
      <c r="S99" s="586"/>
      <c r="T99" s="587">
        <f t="shared" ref="T99:AK99" si="286">IFERROR(T77/T16,"")</f>
        <v>0.31476323119777161</v>
      </c>
      <c r="U99" s="587">
        <f t="shared" si="286"/>
        <v>0.32286995515695072</v>
      </c>
      <c r="V99" s="588">
        <f t="shared" si="286"/>
        <v>0.31867339581831294</v>
      </c>
      <c r="W99" s="587">
        <f t="shared" si="286"/>
        <v>0.32025117739403453</v>
      </c>
      <c r="X99" s="587">
        <f t="shared" si="286"/>
        <v>0.33762517882689563</v>
      </c>
      <c r="Y99" s="588">
        <f t="shared" si="286"/>
        <v>0.32934131736526945</v>
      </c>
      <c r="Z99" s="587">
        <f t="shared" si="286"/>
        <v>0.34633027522935778</v>
      </c>
      <c r="AA99" s="587">
        <f t="shared" si="286"/>
        <v>0.34866310160427805</v>
      </c>
      <c r="AB99" s="588">
        <f t="shared" si="286"/>
        <v>0.34753735473159936</v>
      </c>
      <c r="AC99" s="587">
        <f t="shared" si="286"/>
        <v>0.34198396793587177</v>
      </c>
      <c r="AD99" s="587">
        <f t="shared" si="286"/>
        <v>0.35140562248995977</v>
      </c>
      <c r="AE99" s="588">
        <f t="shared" si="286"/>
        <v>0.3465396188565697</v>
      </c>
      <c r="AF99" s="587">
        <f t="shared" si="286"/>
        <v>0.33596059113300492</v>
      </c>
      <c r="AG99" s="587">
        <f t="shared" si="286"/>
        <v>0.33298969072164947</v>
      </c>
      <c r="AH99" s="588">
        <f t="shared" si="286"/>
        <v>0.33450881612090683</v>
      </c>
      <c r="AI99" s="587">
        <f t="shared" si="286"/>
        <v>0.30063291139240506</v>
      </c>
      <c r="AJ99" s="587">
        <f t="shared" si="286"/>
        <v>0.26023778071334214</v>
      </c>
      <c r="AK99" s="588">
        <f t="shared" si="286"/>
        <v>0.28269794721407626</v>
      </c>
      <c r="AL99" s="589">
        <f t="shared" ref="AL99:AM99" si="287">IFERROR(AL77/AL16,"")</f>
        <v>0.22580645161290322</v>
      </c>
      <c r="AM99" s="587">
        <f t="shared" si="287"/>
        <v>0.26783625730994148</v>
      </c>
      <c r="AN99" s="588">
        <f t="shared" ref="AN99:AO99" si="288">IFERROR(AN77/AN16,"")</f>
        <v>0.24828017510944342</v>
      </c>
      <c r="AO99" s="587">
        <f t="shared" si="288"/>
        <v>0.2716823406478579</v>
      </c>
      <c r="AP99" s="589">
        <v>0.25600000000000001</v>
      </c>
      <c r="AQ99" s="588">
        <v>0.26400000000000001</v>
      </c>
      <c r="AR99" s="587">
        <v>0.17782004990906231</v>
      </c>
      <c r="AS99" s="589">
        <v>0.16243417060803586</v>
      </c>
      <c r="AT99" s="588">
        <v>0.17058723471348741</v>
      </c>
      <c r="AU99" s="587">
        <f>AU77/AU16</f>
        <v>8.6137281292059234E-2</v>
      </c>
      <c r="AV99" s="589">
        <f>[1]Interims!BO208</f>
        <v>7.8738989014173047E-2</v>
      </c>
      <c r="AW99" s="588">
        <f>[1]Interims!BP208</f>
        <v>8.1671854485233855E-2</v>
      </c>
      <c r="AX99" s="587">
        <f>[1]Interims!BQ208</f>
        <v>2.2562759754127311E-2</v>
      </c>
      <c r="AY99" s="589">
        <f>[1]Interims!BR208</f>
        <v>4.0092899040368946E-2</v>
      </c>
      <c r="AZ99" s="588">
        <f>[1]Interims!BS208</f>
        <v>3.0978466605356497E-2</v>
      </c>
    </row>
    <row r="100" spans="2:52" s="589" customFormat="1" x14ac:dyDescent="0.3">
      <c r="B100" s="570" t="s">
        <v>112</v>
      </c>
      <c r="C100" s="615" t="s">
        <v>112</v>
      </c>
      <c r="D100" s="586"/>
      <c r="E100" s="586"/>
      <c r="F100" s="586"/>
      <c r="G100" s="586"/>
      <c r="H100" s="586"/>
      <c r="I100" s="586"/>
      <c r="J100" s="586"/>
      <c r="K100" s="586"/>
      <c r="L100" s="586"/>
      <c r="M100" s="586"/>
      <c r="N100" s="586"/>
      <c r="O100" s="586"/>
      <c r="P100" s="586"/>
      <c r="Q100" s="586"/>
      <c r="R100" s="586"/>
      <c r="S100" s="586"/>
      <c r="T100" s="587">
        <v>0.38700000000000001</v>
      </c>
      <c r="U100" s="587">
        <f t="shared" ref="U100:AK100" si="289">IFERROR(U81/U20,"")</f>
        <v>0.36461126005361927</v>
      </c>
      <c r="V100" s="588">
        <f t="shared" si="289"/>
        <v>0.37705956907477817</v>
      </c>
      <c r="W100" s="587">
        <f t="shared" si="289"/>
        <v>0.3699763593380615</v>
      </c>
      <c r="X100" s="587">
        <f t="shared" si="289"/>
        <v>0.35248618784530383</v>
      </c>
      <c r="Y100" s="588">
        <f t="shared" si="289"/>
        <v>0.36093660765276986</v>
      </c>
      <c r="Z100" s="587">
        <f t="shared" si="289"/>
        <v>0.34869015356820238</v>
      </c>
      <c r="AA100" s="587">
        <f t="shared" si="289"/>
        <v>0.35033444816053511</v>
      </c>
      <c r="AB100" s="588">
        <f t="shared" si="289"/>
        <v>0.34954407294832823</v>
      </c>
      <c r="AC100" s="587">
        <f t="shared" si="289"/>
        <v>0.30489614243323443</v>
      </c>
      <c r="AD100" s="587">
        <f t="shared" si="289"/>
        <v>0.31798866855524083</v>
      </c>
      <c r="AE100" s="588">
        <f t="shared" si="289"/>
        <v>0.31159420289855072</v>
      </c>
      <c r="AF100" s="587">
        <f t="shared" si="289"/>
        <v>0.30383864671437871</v>
      </c>
      <c r="AG100" s="587">
        <f t="shared" si="289"/>
        <v>0.30527036276522934</v>
      </c>
      <c r="AH100" s="588">
        <f t="shared" si="289"/>
        <v>0.30453635757171443</v>
      </c>
      <c r="AI100" s="587">
        <f t="shared" si="289"/>
        <v>0.25534851621808141</v>
      </c>
      <c r="AJ100" s="587">
        <f t="shared" si="289"/>
        <v>0.14099216710182766</v>
      </c>
      <c r="AK100" s="588">
        <f t="shared" si="289"/>
        <v>0.20477290223248654</v>
      </c>
      <c r="AL100" s="589">
        <f t="shared" ref="AL100:AM100" si="290">IFERROR(AL81/AL20,"")</f>
        <v>8.3257918552036195E-2</v>
      </c>
      <c r="AM100" s="587">
        <f t="shared" si="290"/>
        <v>0.16530156366344004</v>
      </c>
      <c r="AN100" s="588">
        <f t="shared" ref="AN100:AO100" si="291">IFERROR(AN81/AN20,"")</f>
        <v>0.12826797385620914</v>
      </c>
      <c r="AO100" s="587">
        <f t="shared" si="291"/>
        <v>0.25278551532033428</v>
      </c>
      <c r="AP100" s="589">
        <v>0.23100000000000001</v>
      </c>
      <c r="AQ100" s="588">
        <v>0.24099999999999999</v>
      </c>
      <c r="AR100" s="587">
        <v>0.23987930850035361</v>
      </c>
      <c r="AS100" s="589">
        <v>0.44076857455872154</v>
      </c>
      <c r="AT100" s="588">
        <v>0.26223071812888488</v>
      </c>
      <c r="AU100" s="587">
        <f>AU81/AU20</f>
        <v>0.21911922663802363</v>
      </c>
      <c r="AV100" s="589">
        <f>[1]Interims!BO209</f>
        <v>0.16445061223451077</v>
      </c>
      <c r="AW100" s="588">
        <f>[1]Interims!BP209</f>
        <v>0.19332704757469552</v>
      </c>
      <c r="AX100" s="587">
        <f>[1]Interims!BQ209</f>
        <v>0.17533872835902262</v>
      </c>
      <c r="AY100" s="589">
        <f>[1]Interims!BR209</f>
        <v>0.16144628263423663</v>
      </c>
      <c r="AZ100" s="588">
        <f>[1]Interims!BS209</f>
        <v>0.16851002905053242</v>
      </c>
    </row>
    <row r="101" spans="2:52" s="589" customFormat="1" x14ac:dyDescent="0.3">
      <c r="B101" s="570" t="s">
        <v>113</v>
      </c>
      <c r="C101" s="615" t="s">
        <v>138</v>
      </c>
      <c r="D101" s="586"/>
      <c r="E101" s="586"/>
      <c r="F101" s="586"/>
      <c r="G101" s="586"/>
      <c r="H101" s="586"/>
      <c r="I101" s="586"/>
      <c r="J101" s="586"/>
      <c r="K101" s="586"/>
      <c r="L101" s="586"/>
      <c r="M101" s="586"/>
      <c r="N101" s="586"/>
      <c r="O101" s="586"/>
      <c r="P101" s="586"/>
      <c r="Q101" s="586"/>
      <c r="R101" s="586"/>
      <c r="S101" s="586"/>
      <c r="T101" s="587">
        <f t="shared" ref="T101:AK101" si="292">IFERROR(T85/T24,"")</f>
        <v>0.15618060695780905</v>
      </c>
      <c r="U101" s="587">
        <f t="shared" si="292"/>
        <v>0.17982456140350878</v>
      </c>
      <c r="V101" s="588">
        <f t="shared" si="292"/>
        <v>0.16789260757631483</v>
      </c>
      <c r="W101" s="587">
        <f t="shared" si="292"/>
        <v>0.18149210903873744</v>
      </c>
      <c r="X101" s="587">
        <f t="shared" si="292"/>
        <v>0.20256991685563117</v>
      </c>
      <c r="Y101" s="588">
        <f t="shared" si="292"/>
        <v>0.19175561280824441</v>
      </c>
      <c r="Z101" s="587">
        <f t="shared" si="292"/>
        <v>0.14432989690721651</v>
      </c>
      <c r="AA101" s="587">
        <f t="shared" si="292"/>
        <v>0.18375394321766561</v>
      </c>
      <c r="AB101" s="588">
        <f t="shared" si="292"/>
        <v>0.16409648082245948</v>
      </c>
      <c r="AC101" s="587">
        <f t="shared" si="292"/>
        <v>0.17725490196078433</v>
      </c>
      <c r="AD101" s="587">
        <f t="shared" si="292"/>
        <v>0.18668706962509565</v>
      </c>
      <c r="AE101" s="588">
        <f t="shared" si="292"/>
        <v>0.18202943454686291</v>
      </c>
      <c r="AF101" s="587">
        <f t="shared" si="292"/>
        <v>0.18223234624145787</v>
      </c>
      <c r="AG101" s="587">
        <f t="shared" si="292"/>
        <v>0.18849356548069643</v>
      </c>
      <c r="AH101" s="588">
        <f t="shared" si="292"/>
        <v>0.18536770280515541</v>
      </c>
      <c r="AI101" s="587">
        <f t="shared" si="292"/>
        <v>0.1499605367008682</v>
      </c>
      <c r="AJ101" s="587">
        <f t="shared" si="292"/>
        <v>-2.4266936299292212E-2</v>
      </c>
      <c r="AK101" s="588">
        <f t="shared" si="292"/>
        <v>7.3581560283687952E-2</v>
      </c>
      <c r="AL101" s="589">
        <f t="shared" ref="AL101:AM101" si="293">IFERROR(AL85/AL24,"")</f>
        <v>-1.0822510822510822E-2</v>
      </c>
      <c r="AM101" s="587">
        <f t="shared" si="293"/>
        <v>0.11499540018399264</v>
      </c>
      <c r="AN101" s="588">
        <f t="shared" ref="AN101:AO101" si="294">IFERROR(AN85/AN24,"")</f>
        <v>5.7185479860765789E-2</v>
      </c>
      <c r="AO101" s="587">
        <f t="shared" si="294"/>
        <v>0.14241001564945227</v>
      </c>
      <c r="AP101" s="589">
        <v>0.186</v>
      </c>
      <c r="AQ101" s="588">
        <v>0.16500000000000001</v>
      </c>
      <c r="AR101" s="587">
        <v>0.11102411768038527</v>
      </c>
      <c r="AS101" s="589">
        <v>0.10456479422276929</v>
      </c>
      <c r="AT101" s="588">
        <v>0.10788818922865294</v>
      </c>
      <c r="AU101" s="587">
        <f>AU85/AU24</f>
        <v>4.8264182895850979E-2</v>
      </c>
      <c r="AV101" s="589">
        <f>[1]Interims!BO210</f>
        <v>6.3341077553608228E-3</v>
      </c>
      <c r="AW101" s="588">
        <f>[1]Interims!BP210</f>
        <v>2.8398958949215333E-2</v>
      </c>
      <c r="AX101" s="587">
        <f>[1]Interims!BQ210</f>
        <v>-6.6845789291675603E-2</v>
      </c>
      <c r="AY101" s="589">
        <f>[1]Interims!BR210</f>
        <v>8.0093798115932636E-3</v>
      </c>
      <c r="AZ101" s="588">
        <f>[1]Interims!BS210</f>
        <v>-2.9945319526058705E-2</v>
      </c>
    </row>
    <row r="102" spans="2:52" s="589" customFormat="1" x14ac:dyDescent="0.3">
      <c r="B102" s="570" t="s">
        <v>114</v>
      </c>
      <c r="C102" s="615" t="s">
        <v>139</v>
      </c>
      <c r="D102" s="586"/>
      <c r="E102" s="586"/>
      <c r="F102" s="586"/>
      <c r="G102" s="586"/>
      <c r="H102" s="586"/>
      <c r="I102" s="586"/>
      <c r="J102" s="586"/>
      <c r="K102" s="586"/>
      <c r="L102" s="586"/>
      <c r="M102" s="586"/>
      <c r="N102" s="586"/>
      <c r="O102" s="586"/>
      <c r="P102" s="586"/>
      <c r="Q102" s="586"/>
      <c r="R102" s="586"/>
      <c r="S102" s="586"/>
      <c r="T102" s="587">
        <f>IFERROR(T89/T28,"")</f>
        <v>5.8635394456290006E-2</v>
      </c>
      <c r="U102" s="587">
        <f>IFERROR(U89/U28,"")</f>
        <v>9.1176470588235248E-2</v>
      </c>
      <c r="V102" s="588">
        <v>7.5999999999999998E-2</v>
      </c>
      <c r="W102" s="587">
        <f t="shared" ref="W102:AK102" si="295">IFERROR(W89/W28,"")</f>
        <v>8.516483516483514E-2</v>
      </c>
      <c r="X102" s="587">
        <f t="shared" si="295"/>
        <v>0.10273405136702568</v>
      </c>
      <c r="Y102" s="588">
        <f t="shared" si="295"/>
        <v>9.4388864723792945E-2</v>
      </c>
      <c r="Z102" s="587">
        <f t="shared" si="295"/>
        <v>9.257950530035336E-2</v>
      </c>
      <c r="AA102" s="587">
        <f t="shared" si="295"/>
        <v>9.1152815013404831E-2</v>
      </c>
      <c r="AB102" s="588">
        <f t="shared" si="295"/>
        <v>9.1847265221878222E-2</v>
      </c>
      <c r="AC102" s="587">
        <f t="shared" si="295"/>
        <v>0.11423335369578498</v>
      </c>
      <c r="AD102" s="587">
        <f t="shared" si="295"/>
        <v>0.12877492877492877</v>
      </c>
      <c r="AE102" s="588">
        <f t="shared" si="295"/>
        <v>0.1217570754716981</v>
      </c>
      <c r="AF102" s="587">
        <f t="shared" si="295"/>
        <v>0.10657095527332966</v>
      </c>
      <c r="AG102" s="587">
        <f t="shared" si="295"/>
        <v>0.1227882037533512</v>
      </c>
      <c r="AH102" s="588">
        <f t="shared" si="295"/>
        <v>0.11479869423286181</v>
      </c>
      <c r="AI102" s="587">
        <f t="shared" si="295"/>
        <v>8.3556507766470278E-2</v>
      </c>
      <c r="AJ102" s="587">
        <f t="shared" si="295"/>
        <v>9.1145833333333339E-3</v>
      </c>
      <c r="AK102" s="588">
        <f t="shared" si="295"/>
        <v>4.9955921245959448E-2</v>
      </c>
      <c r="AL102" s="589">
        <f t="shared" ref="AL102:AM102" si="296">IFERROR(AL89/AL28,"")</f>
        <v>6.8728522336769765E-4</v>
      </c>
      <c r="AM102" s="587">
        <f t="shared" si="296"/>
        <v>7.4295985620131816E-2</v>
      </c>
      <c r="AN102" s="588">
        <f t="shared" ref="AN102:AO102" si="297">IFERROR(AN89/AN28,"")</f>
        <v>4.0025616394492473E-2</v>
      </c>
      <c r="AO102" s="587">
        <f t="shared" si="297"/>
        <v>0.10645812310797176</v>
      </c>
      <c r="AP102" s="589">
        <v>8.4000000000000005E-2</v>
      </c>
      <c r="AQ102" s="588">
        <v>9.5000000000000001E-2</v>
      </c>
      <c r="AR102" s="587">
        <v>8.8739938353591646E-2</v>
      </c>
      <c r="AS102" s="589">
        <v>6.7980813310030072E-2</v>
      </c>
      <c r="AT102" s="588">
        <v>7.8625662346886421E-2</v>
      </c>
      <c r="AU102" s="587">
        <f>AU89/AU28</f>
        <v>3.5173424523693216E-2</v>
      </c>
      <c r="AV102" s="589">
        <f>[1]Interims!BO211</f>
        <v>6.2570068420373048E-2</v>
      </c>
      <c r="AW102" s="588">
        <f>[1]Interims!BP211</f>
        <v>4.8437150039730689E-2</v>
      </c>
      <c r="AX102" s="587">
        <f>[1]Interims!BQ211</f>
        <v>1.692020447257166E-2</v>
      </c>
      <c r="AY102" s="589">
        <f>[1]Interims!BR211</f>
        <v>-4.2070261974150404E-2</v>
      </c>
      <c r="AZ102" s="588">
        <f>[1]Interims!BS211</f>
        <v>-1.1985871698951052E-2</v>
      </c>
    </row>
    <row r="103" spans="2:52" s="572" customFormat="1" x14ac:dyDescent="0.3">
      <c r="B103" s="572" t="s">
        <v>129</v>
      </c>
      <c r="C103" s="616" t="s">
        <v>465</v>
      </c>
      <c r="T103" s="590">
        <f t="shared" ref="T103:AK103" si="298">IF(T93&lt;&gt;0.1,T93/T32,"")</f>
        <v>0.21229486845532691</v>
      </c>
      <c r="U103" s="590">
        <f t="shared" si="298"/>
        <v>0.21732842492768864</v>
      </c>
      <c r="V103" s="591">
        <f t="shared" si="298"/>
        <v>0.21473436273226901</v>
      </c>
      <c r="W103" s="590">
        <f t="shared" si="298"/>
        <v>0.21743512219702696</v>
      </c>
      <c r="X103" s="590">
        <f t="shared" si="298"/>
        <v>0.22907595549104984</v>
      </c>
      <c r="Y103" s="591">
        <f t="shared" si="298"/>
        <v>0.22337405899049737</v>
      </c>
      <c r="Z103" s="590">
        <f t="shared" si="298"/>
        <v>0.21503759398496239</v>
      </c>
      <c r="AA103" s="590">
        <f t="shared" si="298"/>
        <v>0.22776528317317518</v>
      </c>
      <c r="AB103" s="591">
        <f t="shared" si="298"/>
        <v>0.22155876807039596</v>
      </c>
      <c r="AC103" s="590">
        <f t="shared" si="298"/>
        <v>0.22162419170787376</v>
      </c>
      <c r="AD103" s="590">
        <f t="shared" si="298"/>
        <v>0.23199268738574036</v>
      </c>
      <c r="AE103" s="591">
        <f t="shared" si="298"/>
        <v>0.22688292319164802</v>
      </c>
      <c r="AF103" s="590">
        <f t="shared" si="298"/>
        <v>0.21848591549295776</v>
      </c>
      <c r="AG103" s="590">
        <f t="shared" si="298"/>
        <v>0.22200462880541216</v>
      </c>
      <c r="AH103" s="591">
        <f t="shared" si="298"/>
        <v>0.22023546074178985</v>
      </c>
      <c r="AI103" s="590">
        <f t="shared" si="298"/>
        <v>0.18097993129632975</v>
      </c>
      <c r="AJ103" s="590">
        <f t="shared" si="298"/>
        <v>7.8763258858045582E-2</v>
      </c>
      <c r="AK103" s="591">
        <f t="shared" si="298"/>
        <v>0.1355149568359767</v>
      </c>
      <c r="AL103" s="590">
        <f t="shared" ref="AL103:AM103" si="299">IF(AL93&lt;&gt;0.1,AL93/AL32,"")</f>
        <v>5.9366130558183537E-2</v>
      </c>
      <c r="AM103" s="590">
        <f t="shared" si="299"/>
        <v>0.1413284877851807</v>
      </c>
      <c r="AN103" s="591">
        <f t="shared" ref="AN103:AO103" si="300">IF(AN93&lt;&gt;0.1,AN93/AN32,"")</f>
        <v>0.10358348763751224</v>
      </c>
      <c r="AO103" s="590">
        <f t="shared" si="300"/>
        <v>0.17972757827702104</v>
      </c>
      <c r="AP103" s="592">
        <v>0.17399999999999999</v>
      </c>
      <c r="AQ103" s="591">
        <v>0.17699999999999999</v>
      </c>
      <c r="AR103" s="590">
        <v>0.14879582758091733</v>
      </c>
      <c r="AS103" s="592">
        <v>0.156</v>
      </c>
      <c r="AT103" s="591">
        <v>0.152</v>
      </c>
      <c r="AU103" s="590">
        <f>AU93/AU46</f>
        <v>0.10303445911194926</v>
      </c>
      <c r="AV103" s="592">
        <f>[1]Interims!BO212</f>
        <v>8.4781740539693881E-2</v>
      </c>
      <c r="AW103" s="591">
        <f>[1]Interims!BP212</f>
        <v>9.4358408818029871E-2</v>
      </c>
      <c r="AX103" s="590">
        <f>[1]Interims!BQ212</f>
        <v>5.1329452031183893E-2</v>
      </c>
      <c r="AY103" s="592">
        <f>[1]Interims!BR212</f>
        <v>4.2392482912497927E-2</v>
      </c>
      <c r="AZ103" s="591">
        <f>[1]Interims!BS212</f>
        <v>4.6946494196861678E-2</v>
      </c>
    </row>
    <row r="104" spans="2:52" s="593" customFormat="1" ht="12" x14ac:dyDescent="0.3">
      <c r="T104" s="317"/>
      <c r="U104" s="317"/>
      <c r="V104" s="594"/>
      <c r="W104" s="317"/>
      <c r="X104" s="317"/>
      <c r="Y104" s="594"/>
      <c r="Z104" s="317"/>
      <c r="AA104" s="317"/>
      <c r="AB104" s="594"/>
      <c r="AC104" s="317"/>
      <c r="AD104" s="317"/>
      <c r="AE104" s="594"/>
      <c r="AF104" s="317"/>
      <c r="AG104" s="595"/>
      <c r="AH104" s="594"/>
      <c r="AI104" s="317"/>
      <c r="AK104" s="594"/>
      <c r="AN104" s="594"/>
      <c r="AQ104" s="594"/>
      <c r="AT104" s="594"/>
      <c r="AW104" s="594"/>
      <c r="AZ104" s="594"/>
    </row>
    <row r="105" spans="2:52" s="142" customFormat="1" ht="14.5" customHeight="1" outlineLevel="1" x14ac:dyDescent="0.35">
      <c r="B105" s="596" t="s">
        <v>567</v>
      </c>
      <c r="C105" s="570"/>
      <c r="D105" s="570"/>
      <c r="E105" s="570"/>
      <c r="F105" s="570"/>
      <c r="G105" s="570"/>
      <c r="H105" s="570"/>
      <c r="I105" s="570"/>
      <c r="J105" s="570"/>
      <c r="K105" s="570"/>
      <c r="L105" s="570"/>
      <c r="M105" s="570"/>
      <c r="N105" s="570"/>
      <c r="O105" s="570"/>
      <c r="P105" s="570"/>
      <c r="Q105" s="570"/>
      <c r="R105" s="570"/>
      <c r="S105" s="570"/>
      <c r="T105" s="314"/>
      <c r="U105" s="314"/>
      <c r="V105" s="555"/>
      <c r="W105" s="314"/>
      <c r="X105" s="314"/>
      <c r="Y105" s="555"/>
      <c r="Z105" s="314"/>
      <c r="AA105" s="314"/>
      <c r="AB105" s="555"/>
      <c r="AC105" s="314"/>
      <c r="AD105" s="314"/>
      <c r="AE105" s="555"/>
      <c r="AF105" s="314"/>
      <c r="AG105" s="314"/>
      <c r="AH105" s="555"/>
      <c r="AI105" s="314"/>
      <c r="AJ105" s="571"/>
      <c r="AK105" s="555"/>
      <c r="AL105" s="571"/>
      <c r="AM105" s="571"/>
      <c r="AN105" s="555"/>
      <c r="AO105" s="571"/>
      <c r="AP105" s="571"/>
      <c r="AQ105" s="555"/>
      <c r="AR105" s="571"/>
      <c r="AS105" s="571"/>
      <c r="AT105" s="555"/>
      <c r="AU105" s="571"/>
      <c r="AV105" s="571"/>
      <c r="AW105" s="555"/>
      <c r="AX105" s="571"/>
      <c r="AY105" s="571"/>
      <c r="AZ105" s="555"/>
    </row>
    <row r="106" spans="2:52" s="142" customFormat="1" ht="14.5" customHeight="1" outlineLevel="1" x14ac:dyDescent="0.35">
      <c r="B106" s="597" t="s">
        <v>473</v>
      </c>
      <c r="C106" s="570"/>
      <c r="D106" s="570"/>
      <c r="E106" s="570"/>
      <c r="F106" s="570"/>
      <c r="G106" s="570"/>
      <c r="H106" s="570"/>
      <c r="I106" s="570"/>
      <c r="J106" s="570"/>
      <c r="K106" s="570"/>
      <c r="L106" s="570"/>
      <c r="M106" s="570"/>
      <c r="N106" s="570"/>
      <c r="O106" s="570"/>
      <c r="P106" s="570"/>
      <c r="Q106" s="570"/>
      <c r="R106" s="570"/>
      <c r="S106" s="570"/>
      <c r="T106" s="314" t="s">
        <v>3</v>
      </c>
      <c r="U106" s="314" t="s">
        <v>3</v>
      </c>
      <c r="V106" s="555" t="s">
        <v>3</v>
      </c>
      <c r="W106" s="314" t="s">
        <v>3</v>
      </c>
      <c r="X106" s="314" t="s">
        <v>3</v>
      </c>
      <c r="Y106" s="555" t="s">
        <v>3</v>
      </c>
      <c r="Z106" s="314" t="s">
        <v>3</v>
      </c>
      <c r="AA106" s="314" t="s">
        <v>3</v>
      </c>
      <c r="AB106" s="555" t="s">
        <v>3</v>
      </c>
      <c r="AC106" s="314" t="s">
        <v>3</v>
      </c>
      <c r="AD106" s="314" t="s">
        <v>3</v>
      </c>
      <c r="AE106" s="555" t="s">
        <v>3</v>
      </c>
      <c r="AF106" s="314">
        <v>0</v>
      </c>
      <c r="AG106" s="314">
        <v>-0.3</v>
      </c>
      <c r="AH106" s="555">
        <v>-0.3</v>
      </c>
      <c r="AI106" s="314">
        <v>0</v>
      </c>
      <c r="AJ106" s="571">
        <v>0</v>
      </c>
      <c r="AK106" s="555">
        <v>0</v>
      </c>
      <c r="AL106" s="314">
        <v>0</v>
      </c>
      <c r="AM106" s="571">
        <v>0</v>
      </c>
      <c r="AN106" s="555">
        <v>0</v>
      </c>
      <c r="AO106" s="571">
        <v>0</v>
      </c>
      <c r="AP106" s="571">
        <v>0</v>
      </c>
      <c r="AQ106" s="555">
        <v>0</v>
      </c>
      <c r="AR106" s="571">
        <v>0</v>
      </c>
      <c r="AS106" s="571">
        <v>0</v>
      </c>
      <c r="AT106" s="555">
        <v>0</v>
      </c>
      <c r="AU106" s="571">
        <v>-2.7</v>
      </c>
      <c r="AV106" s="571">
        <f>[1]Interims!BO70</f>
        <v>-2.5999999999999996</v>
      </c>
      <c r="AW106" s="555">
        <f>[1]Interims!BP70</f>
        <v>-5.3</v>
      </c>
      <c r="AX106" s="571">
        <f>[1]Interims!BQ70</f>
        <v>-0.6</v>
      </c>
      <c r="AY106" s="571">
        <f>[1]Interims!BR70</f>
        <v>-0.70000000000000007</v>
      </c>
      <c r="AZ106" s="555">
        <f>[1]Interims!BS70</f>
        <v>-1.3</v>
      </c>
    </row>
    <row r="107" spans="2:52" s="142" customFormat="1" ht="14.5" customHeight="1" outlineLevel="1" x14ac:dyDescent="0.35">
      <c r="B107" s="597" t="s">
        <v>112</v>
      </c>
      <c r="C107" s="570"/>
      <c r="D107" s="570"/>
      <c r="E107" s="570"/>
      <c r="F107" s="570"/>
      <c r="G107" s="570"/>
      <c r="H107" s="570"/>
      <c r="I107" s="570"/>
      <c r="J107" s="570"/>
      <c r="K107" s="570"/>
      <c r="L107" s="570"/>
      <c r="M107" s="570"/>
      <c r="N107" s="570"/>
      <c r="O107" s="570"/>
      <c r="P107" s="570"/>
      <c r="Q107" s="570"/>
      <c r="R107" s="570"/>
      <c r="S107" s="570"/>
      <c r="T107" s="314" t="s">
        <v>3</v>
      </c>
      <c r="U107" s="314" t="s">
        <v>3</v>
      </c>
      <c r="V107" s="555" t="s">
        <v>3</v>
      </c>
      <c r="W107" s="314" t="s">
        <v>3</v>
      </c>
      <c r="X107" s="314" t="s">
        <v>3</v>
      </c>
      <c r="Y107" s="555" t="s">
        <v>3</v>
      </c>
      <c r="Z107" s="314" t="s">
        <v>3</v>
      </c>
      <c r="AA107" s="314" t="s">
        <v>3</v>
      </c>
      <c r="AB107" s="555" t="s">
        <v>3</v>
      </c>
      <c r="AC107" s="314" t="s">
        <v>3</v>
      </c>
      <c r="AD107" s="314" t="s">
        <v>3</v>
      </c>
      <c r="AE107" s="555" t="s">
        <v>3</v>
      </c>
      <c r="AF107" s="314">
        <v>0</v>
      </c>
      <c r="AG107" s="314">
        <v>-2.1</v>
      </c>
      <c r="AH107" s="555">
        <v>-2.1</v>
      </c>
      <c r="AI107" s="314">
        <v>0</v>
      </c>
      <c r="AJ107" s="571">
        <v>-12.6</v>
      </c>
      <c r="AK107" s="555">
        <v>-12.6</v>
      </c>
      <c r="AL107" s="314">
        <v>0</v>
      </c>
      <c r="AM107" s="571">
        <v>0</v>
      </c>
      <c r="AN107" s="555">
        <v>0</v>
      </c>
      <c r="AO107" s="571">
        <v>0</v>
      </c>
      <c r="AP107" s="571">
        <v>0</v>
      </c>
      <c r="AQ107" s="555">
        <v>0</v>
      </c>
      <c r="AR107" s="571">
        <v>0</v>
      </c>
      <c r="AS107" s="571">
        <v>0</v>
      </c>
      <c r="AT107" s="555">
        <v>0</v>
      </c>
      <c r="AU107" s="571">
        <v>-2.5</v>
      </c>
      <c r="AV107" s="571">
        <f>[1]Interims!BO71</f>
        <v>-21.1</v>
      </c>
      <c r="AW107" s="555">
        <f>[1]Interims!BP71</f>
        <v>-23.6</v>
      </c>
      <c r="AX107" s="571">
        <f>[1]Interims!BQ71</f>
        <v>-4.3</v>
      </c>
      <c r="AY107" s="571">
        <f>[1]Interims!BR71</f>
        <v>-4.7</v>
      </c>
      <c r="AZ107" s="555">
        <f>[1]Interims!BS71</f>
        <v>-9</v>
      </c>
    </row>
    <row r="108" spans="2:52" s="142" customFormat="1" ht="14.5" customHeight="1" outlineLevel="1" x14ac:dyDescent="0.35">
      <c r="B108" s="597" t="s">
        <v>113</v>
      </c>
      <c r="C108" s="570"/>
      <c r="D108" s="570"/>
      <c r="E108" s="570"/>
      <c r="F108" s="570"/>
      <c r="G108" s="570"/>
      <c r="H108" s="570"/>
      <c r="I108" s="570"/>
      <c r="J108" s="570"/>
      <c r="K108" s="570"/>
      <c r="L108" s="570"/>
      <c r="M108" s="570"/>
      <c r="N108" s="570"/>
      <c r="O108" s="570"/>
      <c r="P108" s="570"/>
      <c r="Q108" s="570"/>
      <c r="R108" s="570"/>
      <c r="S108" s="570"/>
      <c r="T108" s="314" t="s">
        <v>3</v>
      </c>
      <c r="U108" s="314" t="s">
        <v>3</v>
      </c>
      <c r="V108" s="555" t="s">
        <v>3</v>
      </c>
      <c r="W108" s="314" t="s">
        <v>3</v>
      </c>
      <c r="X108" s="314" t="s">
        <v>3</v>
      </c>
      <c r="Y108" s="555" t="s">
        <v>3</v>
      </c>
      <c r="Z108" s="314" t="s">
        <v>3</v>
      </c>
      <c r="AA108" s="314" t="s">
        <v>3</v>
      </c>
      <c r="AB108" s="555" t="s">
        <v>3</v>
      </c>
      <c r="AC108" s="314" t="s">
        <v>3</v>
      </c>
      <c r="AD108" s="314" t="s">
        <v>3</v>
      </c>
      <c r="AE108" s="555" t="s">
        <v>3</v>
      </c>
      <c r="AF108" s="314">
        <v>0</v>
      </c>
      <c r="AG108" s="314">
        <v>-9</v>
      </c>
      <c r="AH108" s="555">
        <v>-9</v>
      </c>
      <c r="AI108" s="314">
        <v>0</v>
      </c>
      <c r="AJ108" s="571">
        <v>-2.2000000000000002</v>
      </c>
      <c r="AK108" s="555">
        <v>-2.2000000000000002</v>
      </c>
      <c r="AL108" s="314">
        <v>0</v>
      </c>
      <c r="AM108" s="571">
        <v>0</v>
      </c>
      <c r="AN108" s="555">
        <v>0</v>
      </c>
      <c r="AO108" s="571">
        <v>0</v>
      </c>
      <c r="AP108" s="571">
        <v>0</v>
      </c>
      <c r="AQ108" s="555">
        <v>0</v>
      </c>
      <c r="AR108" s="571">
        <v>0</v>
      </c>
      <c r="AS108" s="571">
        <v>0</v>
      </c>
      <c r="AT108" s="555">
        <v>0</v>
      </c>
      <c r="AU108" s="571">
        <v>-1.6</v>
      </c>
      <c r="AV108" s="571">
        <f>[1]Interims!BO72</f>
        <v>-5.6999999999999993</v>
      </c>
      <c r="AW108" s="555">
        <f>[1]Interims!BP72</f>
        <v>-7.3</v>
      </c>
      <c r="AX108" s="571">
        <f>[1]Interims!BQ72</f>
        <v>-3.2</v>
      </c>
      <c r="AY108" s="571">
        <f>[1]Interims!BR72</f>
        <v>-3.0999999999999996</v>
      </c>
      <c r="AZ108" s="555">
        <f>[1]Interims!BS72</f>
        <v>-6.3</v>
      </c>
    </row>
    <row r="109" spans="2:52" s="142" customFormat="1" ht="14.5" customHeight="1" outlineLevel="1" x14ac:dyDescent="0.35">
      <c r="B109" s="597" t="s">
        <v>114</v>
      </c>
      <c r="C109" s="570"/>
      <c r="D109" s="570"/>
      <c r="E109" s="570"/>
      <c r="F109" s="570"/>
      <c r="G109" s="570"/>
      <c r="H109" s="570"/>
      <c r="I109" s="570"/>
      <c r="J109" s="570"/>
      <c r="K109" s="570"/>
      <c r="L109" s="570"/>
      <c r="M109" s="570"/>
      <c r="N109" s="570"/>
      <c r="O109" s="570"/>
      <c r="P109" s="570"/>
      <c r="Q109" s="570"/>
      <c r="R109" s="570"/>
      <c r="S109" s="570"/>
      <c r="T109" s="314" t="s">
        <v>3</v>
      </c>
      <c r="U109" s="314" t="s">
        <v>3</v>
      </c>
      <c r="V109" s="555" t="s">
        <v>3</v>
      </c>
      <c r="W109" s="314" t="s">
        <v>3</v>
      </c>
      <c r="X109" s="314" t="s">
        <v>3</v>
      </c>
      <c r="Y109" s="555" t="s">
        <v>3</v>
      </c>
      <c r="Z109" s="314" t="s">
        <v>3</v>
      </c>
      <c r="AA109" s="314" t="s">
        <v>3</v>
      </c>
      <c r="AB109" s="555" t="s">
        <v>3</v>
      </c>
      <c r="AC109" s="314" t="s">
        <v>3</v>
      </c>
      <c r="AD109" s="314" t="s">
        <v>3</v>
      </c>
      <c r="AE109" s="555" t="s">
        <v>3</v>
      </c>
      <c r="AF109" s="314">
        <v>0</v>
      </c>
      <c r="AG109" s="314">
        <v>-3.7</v>
      </c>
      <c r="AH109" s="555">
        <v>-3.7</v>
      </c>
      <c r="AI109" s="314">
        <v>0</v>
      </c>
      <c r="AJ109" s="571">
        <v>-25.1</v>
      </c>
      <c r="AK109" s="555">
        <v>-25.1</v>
      </c>
      <c r="AL109" s="314">
        <v>0</v>
      </c>
      <c r="AM109" s="571">
        <v>0</v>
      </c>
      <c r="AN109" s="555">
        <v>0</v>
      </c>
      <c r="AO109" s="571">
        <v>0</v>
      </c>
      <c r="AP109" s="571">
        <v>0</v>
      </c>
      <c r="AQ109" s="555">
        <v>0</v>
      </c>
      <c r="AR109" s="571">
        <v>0</v>
      </c>
      <c r="AS109" s="571">
        <v>0</v>
      </c>
      <c r="AT109" s="555">
        <v>0</v>
      </c>
      <c r="AU109" s="571">
        <v>-21.1</v>
      </c>
      <c r="AV109" s="571">
        <f>[1]Interims!BO73</f>
        <v>-22.699999999999996</v>
      </c>
      <c r="AW109" s="555">
        <f>[1]Interims!BP73</f>
        <v>-43.8</v>
      </c>
      <c r="AX109" s="571">
        <f>[1]Interims!BQ73</f>
        <v>-1.8</v>
      </c>
      <c r="AY109" s="571">
        <f>[1]Interims!BR73</f>
        <v>-12.299999999999999</v>
      </c>
      <c r="AZ109" s="555">
        <f>[1]Interims!BS73</f>
        <v>-14.1</v>
      </c>
    </row>
    <row r="110" spans="2:52" s="142" customFormat="1" ht="14.15" customHeight="1" outlineLevel="1" x14ac:dyDescent="0.3">
      <c r="B110" s="570" t="s">
        <v>566</v>
      </c>
      <c r="C110" s="570"/>
      <c r="D110" s="570"/>
      <c r="E110" s="570"/>
      <c r="F110" s="570"/>
      <c r="G110" s="570"/>
      <c r="H110" s="570"/>
      <c r="I110" s="570"/>
      <c r="J110" s="570"/>
      <c r="K110" s="570"/>
      <c r="L110" s="570"/>
      <c r="M110" s="570"/>
      <c r="N110" s="570"/>
      <c r="O110" s="570"/>
      <c r="P110" s="570"/>
      <c r="Q110" s="570"/>
      <c r="R110" s="570"/>
      <c r="S110" s="570"/>
      <c r="T110" s="314" t="s">
        <v>3</v>
      </c>
      <c r="U110" s="314" t="s">
        <v>3</v>
      </c>
      <c r="V110" s="555" t="s">
        <v>3</v>
      </c>
      <c r="W110" s="314" t="s">
        <v>3</v>
      </c>
      <c r="X110" s="314" t="s">
        <v>3</v>
      </c>
      <c r="Y110" s="555" t="s">
        <v>3</v>
      </c>
      <c r="Z110" s="314" t="s">
        <v>3</v>
      </c>
      <c r="AA110" s="314" t="s">
        <v>3</v>
      </c>
      <c r="AB110" s="555" t="s">
        <v>3</v>
      </c>
      <c r="AC110" s="314" t="s">
        <v>3</v>
      </c>
      <c r="AD110" s="314" t="s">
        <v>3</v>
      </c>
      <c r="AE110" s="555" t="s">
        <v>3</v>
      </c>
      <c r="AF110" s="314">
        <v>0</v>
      </c>
      <c r="AG110" s="314">
        <f t="shared" ref="AG110:AN110" si="301">SUM(AG106:AG109)</f>
        <v>-15.100000000000001</v>
      </c>
      <c r="AH110" s="555">
        <f>SUM(AH106:AH109)</f>
        <v>-15.100000000000001</v>
      </c>
      <c r="AI110" s="314">
        <f t="shared" si="301"/>
        <v>0</v>
      </c>
      <c r="AJ110" s="314">
        <f t="shared" si="301"/>
        <v>-39.900000000000006</v>
      </c>
      <c r="AK110" s="555">
        <f t="shared" si="301"/>
        <v>-39.900000000000006</v>
      </c>
      <c r="AL110" s="314">
        <f t="shared" ref="AL110" si="302">SUM(AL106:AL109)</f>
        <v>0</v>
      </c>
      <c r="AM110" s="314">
        <f t="shared" si="301"/>
        <v>0</v>
      </c>
      <c r="AN110" s="555">
        <f t="shared" si="301"/>
        <v>0</v>
      </c>
      <c r="AO110" s="314">
        <f t="shared" ref="AO110" si="303">SUM(AO106:AO109)</f>
        <v>0</v>
      </c>
      <c r="AP110" s="571">
        <v>0</v>
      </c>
      <c r="AQ110" s="555">
        <v>0</v>
      </c>
      <c r="AR110" s="314">
        <v>0</v>
      </c>
      <c r="AS110" s="571">
        <v>0</v>
      </c>
      <c r="AT110" s="555">
        <v>0</v>
      </c>
      <c r="AU110" s="314">
        <f>SUM(AU106:AU109)</f>
        <v>-27.900000000000002</v>
      </c>
      <c r="AV110" s="571">
        <f>[1]Interims!BO74</f>
        <v>-52.099999999999994</v>
      </c>
      <c r="AW110" s="555">
        <f>[1]Interims!BP74</f>
        <v>-80</v>
      </c>
      <c r="AX110" s="314">
        <f>[1]Interims!BQ74</f>
        <v>-9.9</v>
      </c>
      <c r="AY110" s="571">
        <f>[1]Interims!BR74</f>
        <v>-20.800000000000004</v>
      </c>
      <c r="AZ110" s="555">
        <f>[1]Interims!BS74</f>
        <v>-30.700000000000003</v>
      </c>
    </row>
    <row r="111" spans="2:52" s="601" customFormat="1" ht="14.15" customHeight="1" outlineLevel="1" x14ac:dyDescent="0.3">
      <c r="B111" s="598" t="s">
        <v>59</v>
      </c>
      <c r="C111" s="598"/>
      <c r="D111" s="598"/>
      <c r="E111" s="598"/>
      <c r="F111" s="598"/>
      <c r="G111" s="598"/>
      <c r="H111" s="598"/>
      <c r="I111" s="598"/>
      <c r="J111" s="598"/>
      <c r="K111" s="598"/>
      <c r="L111" s="598"/>
      <c r="M111" s="598"/>
      <c r="N111" s="598"/>
      <c r="O111" s="598"/>
      <c r="P111" s="598"/>
      <c r="Q111" s="598"/>
      <c r="R111" s="598"/>
      <c r="S111" s="598"/>
      <c r="T111" s="318">
        <f t="shared" ref="T111:AM111" si="304">SUM(T93,T110)</f>
        <v>81.5</v>
      </c>
      <c r="U111" s="318">
        <f t="shared" si="304"/>
        <v>82.649999999999991</v>
      </c>
      <c r="V111" s="599">
        <f t="shared" si="304"/>
        <v>164.1</v>
      </c>
      <c r="W111" s="318">
        <f t="shared" si="304"/>
        <v>86.3</v>
      </c>
      <c r="X111" s="318">
        <f t="shared" si="304"/>
        <v>94.7</v>
      </c>
      <c r="Y111" s="599">
        <f t="shared" si="304"/>
        <v>181</v>
      </c>
      <c r="Z111" s="318">
        <f t="shared" si="304"/>
        <v>100.1</v>
      </c>
      <c r="AA111" s="318">
        <f t="shared" si="304"/>
        <v>111.39999999999999</v>
      </c>
      <c r="AB111" s="599">
        <f t="shared" si="304"/>
        <v>211.5</v>
      </c>
      <c r="AC111" s="318">
        <f t="shared" si="304"/>
        <v>116.53000000000002</v>
      </c>
      <c r="AD111" s="318">
        <f t="shared" si="304"/>
        <v>126.89999999999998</v>
      </c>
      <c r="AE111" s="599">
        <f t="shared" si="304"/>
        <v>243.39999999999998</v>
      </c>
      <c r="AF111" s="318">
        <f t="shared" si="304"/>
        <v>124.10000000000001</v>
      </c>
      <c r="AG111" s="318">
        <f t="shared" si="304"/>
        <v>109.60000000000002</v>
      </c>
      <c r="AH111" s="599">
        <f t="shared" si="304"/>
        <v>233.70000000000002</v>
      </c>
      <c r="AI111" s="318">
        <f t="shared" si="304"/>
        <v>100.1</v>
      </c>
      <c r="AJ111" s="318">
        <f t="shared" si="304"/>
        <v>-5.0000000000000071</v>
      </c>
      <c r="AK111" s="599">
        <f t="shared" si="304"/>
        <v>95.1</v>
      </c>
      <c r="AL111" s="318">
        <f t="shared" ref="AL111" si="305">SUM(AL93,AL110)</f>
        <v>25.1</v>
      </c>
      <c r="AM111" s="318">
        <f t="shared" si="304"/>
        <v>70</v>
      </c>
      <c r="AN111" s="599">
        <f t="shared" ref="AN111:AR111" si="306">SUM(AN93,AN110)</f>
        <v>95.1</v>
      </c>
      <c r="AO111" s="318">
        <f t="shared" si="306"/>
        <v>101.6</v>
      </c>
      <c r="AP111" s="318">
        <f t="shared" si="306"/>
        <v>108.5</v>
      </c>
      <c r="AQ111" s="599">
        <f t="shared" si="306"/>
        <v>210.1</v>
      </c>
      <c r="AR111" s="318">
        <f t="shared" si="306"/>
        <v>97</v>
      </c>
      <c r="AS111" s="318">
        <f t="shared" ref="AS111:AV111" si="307">SUM(AS93,AS110)</f>
        <v>100.02515591897759</v>
      </c>
      <c r="AT111" s="599">
        <f t="shared" si="307"/>
        <v>197.02515591897759</v>
      </c>
      <c r="AU111" s="318">
        <f t="shared" si="307"/>
        <v>32.200000000000003</v>
      </c>
      <c r="AV111" s="318">
        <f t="shared" si="307"/>
        <v>-7.1417378353697742</v>
      </c>
      <c r="AW111" s="599">
        <f t="shared" ref="AW111:AZ111" si="308">SUM(AW93,AW110)</f>
        <v>25.078269277371149</v>
      </c>
      <c r="AX111" s="318">
        <f t="shared" si="308"/>
        <v>15.5574729570528</v>
      </c>
      <c r="AY111" s="318">
        <f t="shared" si="308"/>
        <v>-0.60835228500622307</v>
      </c>
      <c r="AZ111" s="599">
        <f t="shared" si="308"/>
        <v>14.949120672046575</v>
      </c>
    </row>
    <row r="112" spans="2:52" s="225" customFormat="1" ht="14.15" customHeight="1" outlineLevel="1" x14ac:dyDescent="0.3">
      <c r="T112" s="312"/>
      <c r="U112" s="312"/>
      <c r="V112" s="566"/>
      <c r="W112" s="312"/>
      <c r="X112" s="312"/>
      <c r="Y112" s="566"/>
      <c r="Z112" s="312"/>
      <c r="AA112" s="312"/>
      <c r="AB112" s="566"/>
      <c r="AC112" s="312"/>
      <c r="AD112" s="312"/>
      <c r="AE112" s="566"/>
      <c r="AF112" s="312"/>
      <c r="AG112" s="312"/>
      <c r="AH112" s="566"/>
      <c r="AI112" s="312"/>
      <c r="AJ112" s="568"/>
      <c r="AK112" s="566"/>
      <c r="AL112" s="568"/>
      <c r="AM112" s="568"/>
      <c r="AN112" s="566"/>
      <c r="AO112" s="568"/>
      <c r="AP112" s="568"/>
      <c r="AQ112" s="566"/>
      <c r="AR112" s="568"/>
      <c r="AS112" s="568"/>
      <c r="AT112" s="566"/>
      <c r="AU112" s="568"/>
      <c r="AV112" s="568"/>
      <c r="AW112" s="566"/>
      <c r="AX112" s="568"/>
      <c r="AY112" s="568"/>
      <c r="AZ112" s="566"/>
    </row>
    <row r="113" spans="2:52" s="605" customFormat="1" x14ac:dyDescent="0.3">
      <c r="B113" s="602" t="s">
        <v>130</v>
      </c>
      <c r="C113" s="602"/>
      <c r="D113" s="602"/>
      <c r="E113" s="602"/>
      <c r="F113" s="602"/>
      <c r="G113" s="602"/>
      <c r="H113" s="602"/>
      <c r="I113" s="602"/>
      <c r="J113" s="602"/>
      <c r="K113" s="602"/>
      <c r="L113" s="602"/>
      <c r="M113" s="602"/>
      <c r="N113" s="602"/>
      <c r="O113" s="602"/>
      <c r="P113" s="602"/>
      <c r="Q113" s="602"/>
      <c r="R113" s="602"/>
      <c r="S113" s="602"/>
      <c r="T113" s="326">
        <f>-4.5+0.3</f>
        <v>-4.2</v>
      </c>
      <c r="U113" s="326">
        <f>V113-T113</f>
        <v>-3.8</v>
      </c>
      <c r="V113" s="603">
        <v>-8</v>
      </c>
      <c r="W113" s="326">
        <v>-3.9</v>
      </c>
      <c r="X113" s="326">
        <f>Y113-W113</f>
        <v>-4.0999999999999996</v>
      </c>
      <c r="Y113" s="603">
        <v>-8</v>
      </c>
      <c r="Z113" s="326">
        <v>-3.9</v>
      </c>
      <c r="AA113" s="326">
        <f>AB113-Z113</f>
        <v>-3.0000000000000004</v>
      </c>
      <c r="AB113" s="603">
        <v>-6.9</v>
      </c>
      <c r="AC113" s="326">
        <v>-2.6</v>
      </c>
      <c r="AD113" s="326">
        <f>AE113-AC113</f>
        <v>-2.3000000000000003</v>
      </c>
      <c r="AE113" s="603">
        <v>-4.9000000000000004</v>
      </c>
      <c r="AF113" s="326">
        <v>-1.5</v>
      </c>
      <c r="AG113" s="326">
        <f>AH113-AF113</f>
        <v>-1</v>
      </c>
      <c r="AH113" s="603">
        <v>-2.5</v>
      </c>
      <c r="AI113" s="326">
        <v>-4.5</v>
      </c>
      <c r="AJ113" s="326">
        <f>AK113-AI113</f>
        <v>-4.3000000000000007</v>
      </c>
      <c r="AK113" s="603">
        <v>-8.8000000000000007</v>
      </c>
      <c r="AL113" s="604">
        <v>-4</v>
      </c>
      <c r="AM113" s="326">
        <f>AN113-AL113</f>
        <v>-3</v>
      </c>
      <c r="AN113" s="603">
        <v>-7</v>
      </c>
      <c r="AO113" s="604">
        <v>-3.9</v>
      </c>
      <c r="AP113" s="604">
        <f>AQ113-AO113</f>
        <v>-1.9</v>
      </c>
      <c r="AQ113" s="603">
        <v>-5.8</v>
      </c>
      <c r="AR113" s="604">
        <v>-3</v>
      </c>
      <c r="AS113" s="604">
        <v>-1.9000000000000004</v>
      </c>
      <c r="AT113" s="603">
        <v>-4.9000000000000004</v>
      </c>
      <c r="AU113" s="604">
        <v>-4.5999999999999996</v>
      </c>
      <c r="AV113" s="604">
        <f>[1]Interims!BO77</f>
        <v>-5.8000000000000007</v>
      </c>
      <c r="AW113" s="603">
        <f>[1]Interims!BP77</f>
        <v>-10.4</v>
      </c>
      <c r="AX113" s="604">
        <f>[1]Interims!BQ77</f>
        <v>-6.5</v>
      </c>
      <c r="AY113" s="604">
        <f>[1]Interims!BR77</f>
        <v>-6.9</v>
      </c>
      <c r="AZ113" s="603">
        <f>[1]Interims!BS77</f>
        <v>-13.4</v>
      </c>
    </row>
    <row r="114" spans="2:52" s="609" customFormat="1" ht="12.5" x14ac:dyDescent="0.3">
      <c r="B114" s="606" t="s">
        <v>636</v>
      </c>
      <c r="C114" s="607"/>
      <c r="D114" s="607"/>
      <c r="E114" s="607"/>
      <c r="F114" s="607"/>
      <c r="G114" s="607"/>
      <c r="H114" s="607"/>
      <c r="I114" s="607"/>
      <c r="J114" s="607"/>
      <c r="K114" s="607"/>
      <c r="L114" s="607"/>
      <c r="M114" s="607"/>
      <c r="N114" s="607"/>
      <c r="O114" s="607"/>
      <c r="P114" s="607"/>
      <c r="Q114" s="607"/>
      <c r="R114" s="607"/>
      <c r="S114" s="607"/>
      <c r="T114" s="327">
        <f>-1.5-0.3</f>
        <v>-1.8</v>
      </c>
      <c r="U114" s="327">
        <f>V114-T114</f>
        <v>-2.0999999999999996</v>
      </c>
      <c r="V114" s="608">
        <f>-3-0.5-0.4</f>
        <v>-3.9</v>
      </c>
      <c r="W114" s="327">
        <f>-1.9-0.2-0.5</f>
        <v>-2.6</v>
      </c>
      <c r="X114" s="327">
        <f>Y114-W114</f>
        <v>-2.5000000000000004</v>
      </c>
      <c r="Y114" s="608">
        <f>-3.9-0.3-0.9</f>
        <v>-5.1000000000000005</v>
      </c>
      <c r="Z114" s="327">
        <f>-1-0.3-0.6</f>
        <v>-1.9</v>
      </c>
      <c r="AA114" s="327">
        <f>AB114-Z114</f>
        <v>-2.1</v>
      </c>
      <c r="AB114" s="608">
        <f>-2.4-0.5-1.1</f>
        <v>-4</v>
      </c>
      <c r="AC114" s="327">
        <f>-0.6-0.2-1</f>
        <v>-1.8</v>
      </c>
      <c r="AD114" s="327">
        <f>AE114-AC114</f>
        <v>-1.2</v>
      </c>
      <c r="AE114" s="608">
        <f>-0.6-0.3-2.1</f>
        <v>-3</v>
      </c>
      <c r="AF114" s="327">
        <f>-0.1-0.3</f>
        <v>-0.4</v>
      </c>
      <c r="AG114" s="327">
        <f>AH114-AF114</f>
        <v>-0.29999999999999993</v>
      </c>
      <c r="AH114" s="608">
        <f>-0.2-0.5</f>
        <v>-0.7</v>
      </c>
      <c r="AI114" s="327">
        <f>-0.9-0.1</f>
        <v>-1</v>
      </c>
      <c r="AJ114" s="327">
        <f>AK114-AI114</f>
        <v>-1.1000000000000001</v>
      </c>
      <c r="AK114" s="608">
        <f>-1.9-0.2</f>
        <v>-2.1</v>
      </c>
      <c r="AL114" s="609">
        <f>-0.7-0.1</f>
        <v>-0.79999999999999993</v>
      </c>
      <c r="AM114" s="327">
        <f>AN114-AL114</f>
        <v>-0.50000000000000011</v>
      </c>
      <c r="AN114" s="608">
        <f>-1.1-0.2</f>
        <v>-1.3</v>
      </c>
      <c r="AO114" s="609">
        <f>-1.1-0.1</f>
        <v>-1.2000000000000002</v>
      </c>
      <c r="AP114" s="327">
        <f>AQ114-AO114</f>
        <v>-0.29999999999999982</v>
      </c>
      <c r="AQ114" s="608">
        <f>-1.4-0.1</f>
        <v>-1.5</v>
      </c>
      <c r="AR114" s="609">
        <v>-1</v>
      </c>
      <c r="AS114" s="327">
        <v>2</v>
      </c>
      <c r="AT114" s="608">
        <v>1</v>
      </c>
      <c r="AU114" s="609">
        <v>-0.9</v>
      </c>
      <c r="AV114" s="327">
        <f>AW114-AU114</f>
        <v>-0.49999999999999989</v>
      </c>
      <c r="AW114" s="608">
        <v>-1.4</v>
      </c>
      <c r="AX114" s="609">
        <v>-0.8</v>
      </c>
      <c r="AY114" s="327">
        <f>AZ114-AX114</f>
        <v>-0.7</v>
      </c>
      <c r="AZ114" s="608">
        <v>-1.5</v>
      </c>
    </row>
    <row r="115" spans="2:52" s="609" customFormat="1" ht="12.5" x14ac:dyDescent="0.3">
      <c r="B115" s="606" t="s">
        <v>635</v>
      </c>
      <c r="C115" s="607"/>
      <c r="D115" s="607"/>
      <c r="E115" s="607"/>
      <c r="F115" s="607"/>
      <c r="G115" s="607"/>
      <c r="H115" s="607"/>
      <c r="I115" s="607"/>
      <c r="J115" s="607"/>
      <c r="K115" s="607"/>
      <c r="L115" s="607"/>
      <c r="M115" s="607"/>
      <c r="N115" s="607"/>
      <c r="O115" s="607"/>
      <c r="P115" s="607"/>
      <c r="Q115" s="607"/>
      <c r="R115" s="607"/>
      <c r="S115" s="607"/>
      <c r="T115" s="327">
        <v>0</v>
      </c>
      <c r="U115" s="327">
        <f t="shared" ref="U115" si="309">V115-T115</f>
        <v>0</v>
      </c>
      <c r="V115" s="608">
        <v>0</v>
      </c>
      <c r="W115" s="327">
        <v>0</v>
      </c>
      <c r="X115" s="327">
        <f t="shared" ref="X115" si="310">Y115-W115</f>
        <v>0</v>
      </c>
      <c r="Y115" s="608">
        <v>0</v>
      </c>
      <c r="Z115" s="327">
        <v>0</v>
      </c>
      <c r="AA115" s="327">
        <f t="shared" ref="AA115" si="311">AB115-Z115</f>
        <v>0</v>
      </c>
      <c r="AB115" s="608">
        <v>0</v>
      </c>
      <c r="AC115" s="327">
        <v>0</v>
      </c>
      <c r="AD115" s="327">
        <f t="shared" ref="AD115" si="312">AE115-AC115</f>
        <v>0</v>
      </c>
      <c r="AE115" s="608">
        <v>0</v>
      </c>
      <c r="AF115" s="327">
        <v>0</v>
      </c>
      <c r="AG115" s="327">
        <f t="shared" ref="AG115" si="313">AH115-AF115</f>
        <v>0</v>
      </c>
      <c r="AH115" s="608">
        <v>0</v>
      </c>
      <c r="AI115" s="327">
        <v>-2.8</v>
      </c>
      <c r="AJ115" s="327">
        <f t="shared" ref="AJ115:AJ116" si="314">AK115-AI115</f>
        <v>-2.5</v>
      </c>
      <c r="AK115" s="608">
        <v>-5.3</v>
      </c>
      <c r="AL115" s="609">
        <v>-2.6</v>
      </c>
      <c r="AM115" s="327">
        <f t="shared" ref="AM115:AM116" si="315">AN115-AL115</f>
        <v>-2.4</v>
      </c>
      <c r="AN115" s="608">
        <v>-5</v>
      </c>
      <c r="AO115" s="609">
        <v>-2.2999999999999998</v>
      </c>
      <c r="AP115" s="604">
        <f t="shared" ref="AP115:AP116" si="316">AQ115-AO115</f>
        <v>-1.6</v>
      </c>
      <c r="AQ115" s="608">
        <v>-3.9</v>
      </c>
      <c r="AR115" s="609">
        <v>-2</v>
      </c>
      <c r="AS115" s="604">
        <v>-2.2000000000000002</v>
      </c>
      <c r="AT115" s="608">
        <v>-4.2</v>
      </c>
      <c r="AU115" s="609">
        <v>-2.4</v>
      </c>
      <c r="AV115" s="327">
        <f>AW115-AU115</f>
        <v>-2.6</v>
      </c>
      <c r="AW115" s="608">
        <v>-5</v>
      </c>
      <c r="AX115" s="609">
        <v>-2.2999999999999998</v>
      </c>
      <c r="AY115" s="327">
        <f>AZ115-AX115</f>
        <v>-2.2999999999999998</v>
      </c>
      <c r="AZ115" s="608">
        <v>-4.5999999999999996</v>
      </c>
    </row>
    <row r="116" spans="2:52" s="609" customFormat="1" ht="12.5" outlineLevel="1" x14ac:dyDescent="0.3">
      <c r="B116" s="606" t="s">
        <v>574</v>
      </c>
      <c r="C116" s="607"/>
      <c r="D116" s="607"/>
      <c r="E116" s="607"/>
      <c r="F116" s="607"/>
      <c r="G116" s="607"/>
      <c r="H116" s="607"/>
      <c r="I116" s="607"/>
      <c r="J116" s="607"/>
      <c r="K116" s="607"/>
      <c r="L116" s="607"/>
      <c r="M116" s="607"/>
      <c r="N116" s="607"/>
      <c r="O116" s="607"/>
      <c r="P116" s="607"/>
      <c r="Q116" s="607"/>
      <c r="R116" s="607"/>
      <c r="S116" s="607"/>
      <c r="T116" s="327">
        <v>0</v>
      </c>
      <c r="U116" s="327">
        <f t="shared" ref="U116" si="317">V116-T116</f>
        <v>0</v>
      </c>
      <c r="V116" s="608">
        <v>0</v>
      </c>
      <c r="W116" s="327">
        <v>0</v>
      </c>
      <c r="X116" s="327">
        <f t="shared" ref="X116" si="318">Y116-W116</f>
        <v>0</v>
      </c>
      <c r="Y116" s="608">
        <v>0</v>
      </c>
      <c r="Z116" s="327">
        <v>0</v>
      </c>
      <c r="AA116" s="327">
        <f t="shared" ref="AA116" si="319">AB116-Z116</f>
        <v>0</v>
      </c>
      <c r="AB116" s="608">
        <v>0</v>
      </c>
      <c r="AC116" s="327">
        <v>0</v>
      </c>
      <c r="AD116" s="327">
        <f t="shared" ref="AD116" si="320">AE116-AC116</f>
        <v>0</v>
      </c>
      <c r="AE116" s="608">
        <v>0</v>
      </c>
      <c r="AF116" s="327">
        <v>0</v>
      </c>
      <c r="AG116" s="327">
        <f t="shared" ref="AG116" si="321">AH116-AF116</f>
        <v>0</v>
      </c>
      <c r="AH116" s="608">
        <v>0</v>
      </c>
      <c r="AI116" s="327">
        <v>0</v>
      </c>
      <c r="AJ116" s="327">
        <f t="shared" si="314"/>
        <v>0</v>
      </c>
      <c r="AK116" s="608">
        <v>0</v>
      </c>
      <c r="AL116" s="609">
        <v>0</v>
      </c>
      <c r="AM116" s="327">
        <f t="shared" si="315"/>
        <v>0</v>
      </c>
      <c r="AN116" s="608">
        <v>0</v>
      </c>
      <c r="AO116" s="609">
        <v>0</v>
      </c>
      <c r="AP116" s="604">
        <f t="shared" si="316"/>
        <v>0</v>
      </c>
      <c r="AQ116" s="608">
        <v>0</v>
      </c>
      <c r="AR116" s="609">
        <v>0</v>
      </c>
      <c r="AS116" s="604">
        <v>0</v>
      </c>
      <c r="AT116" s="608">
        <v>0</v>
      </c>
      <c r="AV116" s="604"/>
      <c r="AW116" s="608"/>
      <c r="AY116" s="604"/>
      <c r="AZ116" s="608"/>
    </row>
    <row r="117" spans="2:52" s="613" customFormat="1" ht="14.5" outlineLevel="1" x14ac:dyDescent="0.35">
      <c r="B117" s="610" t="s">
        <v>573</v>
      </c>
      <c r="C117" s="610"/>
      <c r="D117" s="610"/>
      <c r="E117" s="610"/>
      <c r="F117" s="610"/>
      <c r="G117" s="610"/>
      <c r="H117" s="610"/>
      <c r="I117" s="610"/>
      <c r="J117" s="610"/>
      <c r="K117" s="610"/>
      <c r="L117" s="610"/>
      <c r="M117" s="610"/>
      <c r="N117" s="610"/>
      <c r="O117" s="610"/>
      <c r="P117" s="610"/>
      <c r="Q117" s="610"/>
      <c r="R117" s="610"/>
      <c r="S117" s="610"/>
      <c r="T117" s="328">
        <f t="shared" ref="T117:AH117" si="322">SUM(T93,T113,-T116)</f>
        <v>77.3</v>
      </c>
      <c r="U117" s="328">
        <f t="shared" si="322"/>
        <v>78.849999999999994</v>
      </c>
      <c r="V117" s="611">
        <f t="shared" si="322"/>
        <v>156.1</v>
      </c>
      <c r="W117" s="328">
        <f t="shared" si="322"/>
        <v>82.399999999999991</v>
      </c>
      <c r="X117" s="328">
        <f t="shared" si="322"/>
        <v>90.600000000000009</v>
      </c>
      <c r="Y117" s="611">
        <f t="shared" si="322"/>
        <v>173</v>
      </c>
      <c r="Z117" s="328">
        <f t="shared" si="322"/>
        <v>96.199999999999989</v>
      </c>
      <c r="AA117" s="328">
        <f t="shared" si="322"/>
        <v>108.39999999999999</v>
      </c>
      <c r="AB117" s="611">
        <f t="shared" si="322"/>
        <v>204.6</v>
      </c>
      <c r="AC117" s="328">
        <f t="shared" si="322"/>
        <v>113.93000000000002</v>
      </c>
      <c r="AD117" s="328">
        <f t="shared" si="322"/>
        <v>124.59999999999998</v>
      </c>
      <c r="AE117" s="611">
        <f t="shared" si="322"/>
        <v>238.49999999999997</v>
      </c>
      <c r="AF117" s="328">
        <f t="shared" si="322"/>
        <v>122.60000000000001</v>
      </c>
      <c r="AG117" s="328">
        <f t="shared" si="322"/>
        <v>123.70000000000002</v>
      </c>
      <c r="AH117" s="611">
        <f t="shared" si="322"/>
        <v>246.3</v>
      </c>
      <c r="AI117" s="328">
        <f t="shared" ref="AI117:AK117" si="323">SUM(AI93,AI113,-AI116)</f>
        <v>95.6</v>
      </c>
      <c r="AJ117" s="612">
        <f t="shared" si="323"/>
        <v>30.599999999999998</v>
      </c>
      <c r="AK117" s="611">
        <f t="shared" si="323"/>
        <v>126.2</v>
      </c>
      <c r="AL117" s="328">
        <f t="shared" ref="AL117:AM117" si="324">SUM(AL93,AL113,-AL116)</f>
        <v>21.1</v>
      </c>
      <c r="AM117" s="612">
        <f t="shared" si="324"/>
        <v>67</v>
      </c>
      <c r="AN117" s="611">
        <f t="shared" ref="AN117:AR117" si="325">SUM(AN93,AN113,-AN116)</f>
        <v>88.1</v>
      </c>
      <c r="AO117" s="612">
        <f t="shared" si="325"/>
        <v>97.699999999999989</v>
      </c>
      <c r="AP117" s="612">
        <f t="shared" si="325"/>
        <v>106.6</v>
      </c>
      <c r="AQ117" s="611">
        <f t="shared" si="325"/>
        <v>204.29999999999998</v>
      </c>
      <c r="AR117" s="612">
        <f t="shared" si="325"/>
        <v>94</v>
      </c>
      <c r="AS117" s="612">
        <v>98.1</v>
      </c>
      <c r="AT117" s="611">
        <v>192.1</v>
      </c>
      <c r="AU117" s="612">
        <f t="shared" ref="AU117" si="326">SUM(AU93,AU113,-AU116)</f>
        <v>55.5</v>
      </c>
      <c r="AV117" s="612">
        <f>[1]Interims!BO80</f>
        <v>39.158262164630216</v>
      </c>
      <c r="AW117" s="611">
        <f>[1]Interims!BP80</f>
        <v>94.678269277371143</v>
      </c>
      <c r="AX117" s="612">
        <f>[1]Interims!BQ80</f>
        <v>18.957472957052801</v>
      </c>
      <c r="AY117" s="612">
        <f>[1]Interims!BR80</f>
        <v>13.291647714993779</v>
      </c>
      <c r="AZ117" s="611">
        <f>[1]Interims!BS80</f>
        <v>32.24912067204658</v>
      </c>
    </row>
    <row r="118" spans="2:52" s="574" customFormat="1" x14ac:dyDescent="0.3">
      <c r="B118" s="598" t="s">
        <v>131</v>
      </c>
      <c r="C118" s="598"/>
      <c r="D118" s="598"/>
      <c r="E118" s="598"/>
      <c r="F118" s="598"/>
      <c r="G118" s="598"/>
      <c r="H118" s="598"/>
      <c r="I118" s="598"/>
      <c r="J118" s="598"/>
      <c r="K118" s="598"/>
      <c r="L118" s="598"/>
      <c r="M118" s="598"/>
      <c r="N118" s="598"/>
      <c r="O118" s="598"/>
      <c r="P118" s="598"/>
      <c r="Q118" s="598"/>
      <c r="R118" s="598"/>
      <c r="S118" s="598"/>
      <c r="T118" s="318">
        <f t="shared" ref="T118:AH118" si="327">SUM(T111,T113)</f>
        <v>77.3</v>
      </c>
      <c r="U118" s="318">
        <f t="shared" si="327"/>
        <v>78.849999999999994</v>
      </c>
      <c r="V118" s="599">
        <f t="shared" si="327"/>
        <v>156.1</v>
      </c>
      <c r="W118" s="318">
        <f t="shared" si="327"/>
        <v>82.399999999999991</v>
      </c>
      <c r="X118" s="318">
        <f t="shared" si="327"/>
        <v>90.600000000000009</v>
      </c>
      <c r="Y118" s="599">
        <f t="shared" si="327"/>
        <v>173</v>
      </c>
      <c r="Z118" s="318">
        <f t="shared" si="327"/>
        <v>96.199999999999989</v>
      </c>
      <c r="AA118" s="318">
        <f t="shared" si="327"/>
        <v>108.39999999999999</v>
      </c>
      <c r="AB118" s="599">
        <f t="shared" si="327"/>
        <v>204.6</v>
      </c>
      <c r="AC118" s="318">
        <f t="shared" si="327"/>
        <v>113.93000000000002</v>
      </c>
      <c r="AD118" s="318">
        <f t="shared" si="327"/>
        <v>124.59999999999998</v>
      </c>
      <c r="AE118" s="599">
        <f t="shared" si="327"/>
        <v>238.49999999999997</v>
      </c>
      <c r="AF118" s="318">
        <f t="shared" si="327"/>
        <v>122.60000000000001</v>
      </c>
      <c r="AG118" s="318">
        <f t="shared" si="327"/>
        <v>108.60000000000002</v>
      </c>
      <c r="AH118" s="599">
        <f t="shared" si="327"/>
        <v>231.20000000000002</v>
      </c>
      <c r="AI118" s="318">
        <f t="shared" ref="AI118:AK118" si="328">SUM(AI111,AI113)</f>
        <v>95.6</v>
      </c>
      <c r="AJ118" s="614">
        <f t="shared" si="328"/>
        <v>-9.3000000000000078</v>
      </c>
      <c r="AK118" s="599">
        <f t="shared" si="328"/>
        <v>86.3</v>
      </c>
      <c r="AL118" s="318">
        <f t="shared" ref="AL118:AM118" si="329">SUM(AL111,AL113)</f>
        <v>21.1</v>
      </c>
      <c r="AM118" s="614">
        <f t="shared" si="329"/>
        <v>67</v>
      </c>
      <c r="AN118" s="599">
        <f t="shared" ref="AN118:AO118" si="330">SUM(AN111,AN113)</f>
        <v>88.1</v>
      </c>
      <c r="AO118" s="614">
        <f t="shared" si="330"/>
        <v>97.699999999999989</v>
      </c>
      <c r="AP118" s="614">
        <f>AQ118-AO118</f>
        <v>106.60000000000002</v>
      </c>
      <c r="AQ118" s="599">
        <v>204.3</v>
      </c>
      <c r="AR118" s="614">
        <f t="shared" ref="AR118:AU118" si="331">SUM(AR111,AR113)</f>
        <v>94</v>
      </c>
      <c r="AS118" s="614">
        <f t="shared" si="331"/>
        <v>98.125155918977583</v>
      </c>
      <c r="AT118" s="599">
        <f t="shared" si="331"/>
        <v>192.12515591897758</v>
      </c>
      <c r="AU118" s="614">
        <f t="shared" si="331"/>
        <v>27.6</v>
      </c>
      <c r="AV118" s="614">
        <f>[1]Interims!BO81</f>
        <v>39.158262164630216</v>
      </c>
      <c r="AW118" s="599">
        <f>[1]Interims!BP81</f>
        <v>14.678269277371149</v>
      </c>
      <c r="AX118" s="614">
        <f>[1]Interims!BQ81</f>
        <v>9.0574729570528003</v>
      </c>
      <c r="AY118" s="614">
        <f>[1]Interims!BR81</f>
        <v>-7.5083522850062234</v>
      </c>
      <c r="AZ118" s="599">
        <f>[1]Interims!BS81</f>
        <v>1.5491206720465751</v>
      </c>
    </row>
    <row r="119" spans="2:52" s="225" customFormat="1" x14ac:dyDescent="0.3">
      <c r="T119" s="312"/>
      <c r="U119" s="312"/>
      <c r="V119" s="566"/>
      <c r="W119" s="312"/>
      <c r="X119" s="312"/>
      <c r="Y119" s="566"/>
      <c r="Z119" s="312"/>
      <c r="AA119" s="312"/>
      <c r="AB119" s="566"/>
      <c r="AC119" s="312"/>
      <c r="AD119" s="312"/>
      <c r="AE119" s="566"/>
      <c r="AF119" s="312"/>
      <c r="AG119" s="312"/>
      <c r="AH119" s="566"/>
      <c r="AI119" s="312"/>
      <c r="AJ119" s="568"/>
      <c r="AK119" s="566"/>
      <c r="AL119" s="568"/>
      <c r="AM119" s="568"/>
      <c r="AN119" s="566"/>
      <c r="AO119" s="568"/>
      <c r="AP119" s="568"/>
      <c r="AQ119" s="566"/>
      <c r="AR119" s="568"/>
      <c r="AS119" s="568"/>
      <c r="AT119" s="566"/>
      <c r="AU119" s="568"/>
      <c r="AV119" s="568"/>
      <c r="AW119" s="566"/>
      <c r="AX119" s="568"/>
      <c r="AY119" s="568"/>
      <c r="AZ119" s="566"/>
    </row>
    <row r="120" spans="2:52" s="609" customFormat="1" ht="12.5" outlineLevel="1" x14ac:dyDescent="0.3">
      <c r="B120" s="606" t="s">
        <v>576</v>
      </c>
      <c r="C120" s="607"/>
      <c r="D120" s="607"/>
      <c r="E120" s="607"/>
      <c r="F120" s="607"/>
      <c r="G120" s="607"/>
      <c r="H120" s="607"/>
      <c r="I120" s="607"/>
      <c r="J120" s="607"/>
      <c r="K120" s="607"/>
      <c r="L120" s="607"/>
      <c r="M120" s="607"/>
      <c r="N120" s="607"/>
      <c r="O120" s="607"/>
      <c r="P120" s="607"/>
      <c r="Q120" s="607"/>
      <c r="R120" s="607"/>
      <c r="S120" s="607"/>
      <c r="T120" s="327">
        <v>-25.9</v>
      </c>
      <c r="U120" s="327">
        <f>V120-T120</f>
        <v>-24.800000000000004</v>
      </c>
      <c r="V120" s="608">
        <v>-50.7</v>
      </c>
      <c r="W120" s="327">
        <v>-25.5</v>
      </c>
      <c r="X120" s="327">
        <f>Y120-W120</f>
        <v>-26.4</v>
      </c>
      <c r="Y120" s="608">
        <v>-51.9</v>
      </c>
      <c r="Z120" s="327">
        <v>-30.8</v>
      </c>
      <c r="AA120" s="327">
        <f>AB120-Z120</f>
        <v>-34.700000000000003</v>
      </c>
      <c r="AB120" s="608">
        <v>-65.5</v>
      </c>
      <c r="AC120" s="327">
        <v>-35.9</v>
      </c>
      <c r="AD120" s="327">
        <f>AE120-AC120</f>
        <v>-36.800000000000004</v>
      </c>
      <c r="AE120" s="608">
        <v>-72.7</v>
      </c>
      <c r="AF120" s="327">
        <v>-37.4</v>
      </c>
      <c r="AG120" s="327">
        <f>AH120-AF120</f>
        <v>-35.300000000000004</v>
      </c>
      <c r="AH120" s="608">
        <v>-72.7</v>
      </c>
      <c r="AI120" s="327">
        <v>-28.2</v>
      </c>
      <c r="AJ120" s="609">
        <f t="shared" ref="AJ120:AJ121" si="332">AK120-AI120</f>
        <v>-18.000000000000004</v>
      </c>
      <c r="AK120" s="608">
        <v>-46.2</v>
      </c>
      <c r="AL120" s="609">
        <v>-8.5</v>
      </c>
      <c r="AM120" s="609">
        <f t="shared" ref="AM120:AM121" si="333">AN120-AL120</f>
        <v>-18.100000000000001</v>
      </c>
      <c r="AN120" s="608">
        <v>-26.6</v>
      </c>
      <c r="AO120" s="609">
        <v>-29.3</v>
      </c>
      <c r="AP120" s="609">
        <f>AQ120-AO120</f>
        <v>-20.8</v>
      </c>
      <c r="AQ120" s="608">
        <v>-50.1</v>
      </c>
      <c r="AR120" s="609">
        <v>-27.3</v>
      </c>
      <c r="AS120" s="609">
        <v>-26.499999999999996</v>
      </c>
      <c r="AT120" s="608">
        <v>-53.8</v>
      </c>
      <c r="AU120" s="609">
        <v>-17.8</v>
      </c>
      <c r="AV120" s="609">
        <f>[1]Interims!BO83</f>
        <v>-12.2</v>
      </c>
      <c r="AW120" s="608">
        <f>[1]Interims!BP83</f>
        <v>-30</v>
      </c>
      <c r="AX120" s="609">
        <f>[1]Interims!BQ83</f>
        <v>-6.6</v>
      </c>
      <c r="AY120" s="609">
        <f>[1]Interims!BR83</f>
        <v>-4.7000000000000011</v>
      </c>
      <c r="AZ120" s="608">
        <f>[1]Interims!BS83</f>
        <v>-11.3</v>
      </c>
    </row>
    <row r="121" spans="2:52" s="609" customFormat="1" ht="12.5" outlineLevel="1" x14ac:dyDescent="0.3">
      <c r="B121" s="606" t="s">
        <v>577</v>
      </c>
      <c r="C121" s="607"/>
      <c r="D121" s="607"/>
      <c r="E121" s="607"/>
      <c r="F121" s="607"/>
      <c r="G121" s="607"/>
      <c r="H121" s="607"/>
      <c r="I121" s="607"/>
      <c r="J121" s="607"/>
      <c r="K121" s="607"/>
      <c r="L121" s="607"/>
      <c r="M121" s="607"/>
      <c r="N121" s="607"/>
      <c r="O121" s="607"/>
      <c r="P121" s="607"/>
      <c r="Q121" s="607"/>
      <c r="R121" s="607"/>
      <c r="S121" s="607"/>
      <c r="T121" s="327" t="s">
        <v>3</v>
      </c>
      <c r="U121" s="327" t="s">
        <v>3</v>
      </c>
      <c r="V121" s="608" t="s">
        <v>3</v>
      </c>
      <c r="W121" s="327" t="s">
        <v>3</v>
      </c>
      <c r="X121" s="327" t="s">
        <v>3</v>
      </c>
      <c r="Y121" s="608" t="s">
        <v>3</v>
      </c>
      <c r="Z121" s="327" t="s">
        <v>3</v>
      </c>
      <c r="AA121" s="327" t="s">
        <v>3</v>
      </c>
      <c r="AB121" s="608" t="s">
        <v>3</v>
      </c>
      <c r="AC121" s="327" t="s">
        <v>3</v>
      </c>
      <c r="AD121" s="327" t="s">
        <v>3</v>
      </c>
      <c r="AE121" s="608" t="s">
        <v>3</v>
      </c>
      <c r="AF121" s="327">
        <v>0</v>
      </c>
      <c r="AG121" s="327">
        <f>AH121-AF121</f>
        <v>3.2</v>
      </c>
      <c r="AH121" s="608">
        <v>3.2</v>
      </c>
      <c r="AI121" s="327">
        <v>0</v>
      </c>
      <c r="AJ121" s="609">
        <f t="shared" si="332"/>
        <v>7.4</v>
      </c>
      <c r="AK121" s="608">
        <v>7.4</v>
      </c>
      <c r="AL121" s="609">
        <v>0</v>
      </c>
      <c r="AM121" s="609">
        <f t="shared" si="333"/>
        <v>0</v>
      </c>
      <c r="AN121" s="608">
        <v>0</v>
      </c>
      <c r="AO121" s="609">
        <v>0</v>
      </c>
      <c r="AP121" s="609">
        <f t="shared" ref="AP121:AR121" si="334">AQ121-AO121</f>
        <v>0</v>
      </c>
      <c r="AQ121" s="608">
        <v>0</v>
      </c>
      <c r="AR121" s="609">
        <f t="shared" si="334"/>
        <v>0</v>
      </c>
      <c r="AS121" s="609">
        <v>0</v>
      </c>
      <c r="AT121" s="608">
        <v>0</v>
      </c>
      <c r="AU121" s="609">
        <v>2.5</v>
      </c>
      <c r="AV121" s="609">
        <f>[1]Interims!BO84</f>
        <v>8.6999999999999993</v>
      </c>
      <c r="AW121" s="608">
        <f>[1]Interims!BP84</f>
        <v>11.2</v>
      </c>
      <c r="AX121" s="609">
        <f>[1]Interims!BQ84</f>
        <v>0</v>
      </c>
      <c r="AY121" s="609">
        <f>[1]Interims!BR84</f>
        <v>0</v>
      </c>
      <c r="AZ121" s="608">
        <f>[1]Interims!BS84</f>
        <v>0</v>
      </c>
    </row>
    <row r="122" spans="2:52" s="142" customFormat="1" x14ac:dyDescent="0.3">
      <c r="B122" s="570" t="s">
        <v>575</v>
      </c>
      <c r="C122" s="570"/>
      <c r="D122" s="570"/>
      <c r="E122" s="570"/>
      <c r="F122" s="570"/>
      <c r="G122" s="570"/>
      <c r="H122" s="570"/>
      <c r="I122" s="570"/>
      <c r="J122" s="570"/>
      <c r="K122" s="570"/>
      <c r="L122" s="570"/>
      <c r="M122" s="570"/>
      <c r="N122" s="570"/>
      <c r="O122" s="570"/>
      <c r="P122" s="570"/>
      <c r="Q122" s="570"/>
      <c r="R122" s="570"/>
      <c r="S122" s="570"/>
      <c r="T122" s="314">
        <v>-25.9</v>
      </c>
      <c r="U122" s="326">
        <f>V122-T122</f>
        <v>-24.800000000000004</v>
      </c>
      <c r="V122" s="555">
        <v>-50.7</v>
      </c>
      <c r="W122" s="314">
        <v>-25.5</v>
      </c>
      <c r="X122" s="326">
        <f>Y122-W122</f>
        <v>-26.4</v>
      </c>
      <c r="Y122" s="555">
        <v>-51.9</v>
      </c>
      <c r="Z122" s="314">
        <v>-30.8</v>
      </c>
      <c r="AA122" s="314">
        <f>AB122-Z122</f>
        <v>-34.700000000000003</v>
      </c>
      <c r="AB122" s="555">
        <f>SUM(AB120:AB121)</f>
        <v>-65.5</v>
      </c>
      <c r="AC122" s="314">
        <v>-35.9</v>
      </c>
      <c r="AD122" s="314">
        <f>AE122-AC122</f>
        <v>-36.800000000000004</v>
      </c>
      <c r="AE122" s="555">
        <f>SUM(AE120:AE121)</f>
        <v>-72.7</v>
      </c>
      <c r="AF122" s="314">
        <v>-37.4</v>
      </c>
      <c r="AG122" s="326">
        <f>AH122-AF122</f>
        <v>-32.1</v>
      </c>
      <c r="AH122" s="555">
        <f>SUM(AH120:AH121)</f>
        <v>-69.5</v>
      </c>
      <c r="AI122" s="314">
        <v>-28.2</v>
      </c>
      <c r="AJ122" s="571">
        <f>AK122-AI122</f>
        <v>-10.600000000000005</v>
      </c>
      <c r="AK122" s="555">
        <f>SUM(AK120:AK121)</f>
        <v>-38.800000000000004</v>
      </c>
      <c r="AL122" s="314">
        <v>-8.5</v>
      </c>
      <c r="AM122" s="571">
        <f>AN122-AL122</f>
        <v>-18.100000000000001</v>
      </c>
      <c r="AN122" s="555">
        <f>SUM(AN120:AN121)</f>
        <v>-26.6</v>
      </c>
      <c r="AO122" s="571">
        <f>SUM(AO120:AO121)</f>
        <v>-29.3</v>
      </c>
      <c r="AP122" s="571">
        <v>-20.8</v>
      </c>
      <c r="AQ122" s="555">
        <v>-50.1</v>
      </c>
      <c r="AR122" s="571">
        <v>-27.3</v>
      </c>
      <c r="AS122" s="571">
        <v>-26.499999999999996</v>
      </c>
      <c r="AT122" s="555">
        <v>-53.8</v>
      </c>
      <c r="AU122" s="571">
        <v>-15.3</v>
      </c>
      <c r="AV122" s="571">
        <f>[1]Interims!BO85</f>
        <v>-3.5</v>
      </c>
      <c r="AW122" s="555">
        <f>[1]Interims!BP85</f>
        <v>-18.8</v>
      </c>
      <c r="AX122" s="571">
        <f>[1]Interims!BQ85</f>
        <v>-6.6</v>
      </c>
      <c r="AY122" s="571">
        <f>[1]Interims!BR85</f>
        <v>-4.7000000000000011</v>
      </c>
      <c r="AZ122" s="555">
        <f>[1]Interims!BS85</f>
        <v>-11.3</v>
      </c>
    </row>
    <row r="123" spans="2:52" s="574" customFormat="1" x14ac:dyDescent="0.3">
      <c r="B123" s="598" t="s">
        <v>737</v>
      </c>
      <c r="C123" s="598"/>
      <c r="D123" s="598"/>
      <c r="E123" s="598"/>
      <c r="F123" s="598"/>
      <c r="G123" s="598"/>
      <c r="H123" s="598"/>
      <c r="I123" s="598"/>
      <c r="J123" s="598"/>
      <c r="K123" s="598"/>
      <c r="L123" s="598"/>
      <c r="M123" s="598"/>
      <c r="N123" s="598"/>
      <c r="O123" s="598"/>
      <c r="P123" s="598"/>
      <c r="Q123" s="598"/>
      <c r="R123" s="598"/>
      <c r="S123" s="598"/>
      <c r="T123" s="318">
        <f t="shared" ref="T123:AK123" si="335">SUM(T118,T122)</f>
        <v>51.4</v>
      </c>
      <c r="U123" s="318">
        <f t="shared" si="335"/>
        <v>54.04999999999999</v>
      </c>
      <c r="V123" s="599">
        <f t="shared" si="335"/>
        <v>105.39999999999999</v>
      </c>
      <c r="W123" s="318">
        <f t="shared" si="335"/>
        <v>56.899999999999991</v>
      </c>
      <c r="X123" s="318">
        <f t="shared" si="335"/>
        <v>64.200000000000017</v>
      </c>
      <c r="Y123" s="599">
        <f t="shared" si="335"/>
        <v>121.1</v>
      </c>
      <c r="Z123" s="318">
        <f t="shared" si="335"/>
        <v>65.399999999999991</v>
      </c>
      <c r="AA123" s="318">
        <f t="shared" si="335"/>
        <v>73.699999999999989</v>
      </c>
      <c r="AB123" s="599">
        <f t="shared" si="335"/>
        <v>139.1</v>
      </c>
      <c r="AC123" s="318">
        <f t="shared" si="335"/>
        <v>78.03000000000003</v>
      </c>
      <c r="AD123" s="318">
        <f t="shared" si="335"/>
        <v>87.799999999999983</v>
      </c>
      <c r="AE123" s="599">
        <f t="shared" si="335"/>
        <v>165.79999999999995</v>
      </c>
      <c r="AF123" s="318">
        <f t="shared" si="335"/>
        <v>85.200000000000017</v>
      </c>
      <c r="AG123" s="318">
        <f>SUM(AG118,AG122)</f>
        <v>76.500000000000028</v>
      </c>
      <c r="AH123" s="599">
        <f t="shared" si="335"/>
        <v>161.70000000000002</v>
      </c>
      <c r="AI123" s="318">
        <f t="shared" si="335"/>
        <v>67.399999999999991</v>
      </c>
      <c r="AJ123" s="614">
        <f>SUM(AJ118,AJ122)</f>
        <v>-19.900000000000013</v>
      </c>
      <c r="AK123" s="599">
        <f t="shared" si="335"/>
        <v>47.499999999999993</v>
      </c>
      <c r="AL123" s="318">
        <f t="shared" ref="AL123" si="336">SUM(AL118,AL122)</f>
        <v>12.600000000000001</v>
      </c>
      <c r="AM123" s="614">
        <f>SUM(AM118,AM122)</f>
        <v>48.9</v>
      </c>
      <c r="AN123" s="599">
        <f t="shared" ref="AN123:AQ123" si="337">SUM(AN118,AN122)</f>
        <v>61.499999999999993</v>
      </c>
      <c r="AO123" s="614">
        <f t="shared" si="337"/>
        <v>68.399999999999991</v>
      </c>
      <c r="AP123" s="614">
        <f t="shared" si="337"/>
        <v>85.800000000000026</v>
      </c>
      <c r="AQ123" s="599">
        <f t="shared" si="337"/>
        <v>154.20000000000002</v>
      </c>
      <c r="AR123" s="614">
        <f>SUM(AR118,AR122)</f>
        <v>66.7</v>
      </c>
      <c r="AS123" s="614">
        <f>SUM(AS118,AS122)</f>
        <v>71.625155918977583</v>
      </c>
      <c r="AT123" s="599">
        <f>SUM(AT118,AT122)</f>
        <v>138.3251559189776</v>
      </c>
      <c r="AU123" s="614">
        <f>SUM(AU118,AU122)</f>
        <v>12.3</v>
      </c>
      <c r="AV123" s="614">
        <f>[1]Interims!BO86</f>
        <v>-16.441737835369779</v>
      </c>
      <c r="AW123" s="599">
        <f>[1]Interims!BP86</f>
        <v>-4.1217307226288522</v>
      </c>
      <c r="AX123" s="614">
        <f>[1]Interims!BQ86</f>
        <v>2.4574729570528007</v>
      </c>
      <c r="AY123" s="614">
        <f>[1]Interims!BR86</f>
        <v>-12.208352285006224</v>
      </c>
      <c r="AZ123" s="599">
        <f>[1]Interims!BS86</f>
        <v>-9.7508793279534256</v>
      </c>
    </row>
    <row r="124" spans="2:52" s="225" customFormat="1" x14ac:dyDescent="0.3">
      <c r="T124" s="312"/>
      <c r="U124" s="312"/>
      <c r="V124" s="566"/>
      <c r="W124" s="312"/>
      <c r="X124" s="312"/>
      <c r="Y124" s="566"/>
      <c r="Z124" s="312"/>
      <c r="AA124" s="312"/>
      <c r="AB124" s="566"/>
      <c r="AC124" s="312"/>
      <c r="AD124" s="312"/>
      <c r="AE124" s="566"/>
      <c r="AF124" s="312"/>
      <c r="AG124" s="312"/>
      <c r="AH124" s="566"/>
      <c r="AI124" s="312"/>
      <c r="AJ124" s="568"/>
      <c r="AK124" s="566"/>
      <c r="AL124" s="568"/>
      <c r="AM124" s="568"/>
      <c r="AN124" s="566"/>
      <c r="AO124" s="568"/>
      <c r="AP124" s="568"/>
      <c r="AQ124" s="566"/>
      <c r="AR124" s="568"/>
      <c r="AS124" s="568"/>
      <c r="AT124" s="566"/>
      <c r="AU124" s="568"/>
      <c r="AV124" s="568"/>
      <c r="AW124" s="566"/>
      <c r="AX124" s="568"/>
      <c r="AY124" s="568"/>
      <c r="AZ124" s="566"/>
    </row>
    <row r="125" spans="2:52" s="142" customFormat="1" outlineLevel="1" x14ac:dyDescent="0.3">
      <c r="B125" s="606" t="s">
        <v>593</v>
      </c>
      <c r="C125" s="570"/>
      <c r="D125" s="570"/>
      <c r="E125" s="570"/>
      <c r="F125" s="570"/>
      <c r="G125" s="570"/>
      <c r="H125" s="570"/>
      <c r="I125" s="570"/>
      <c r="J125" s="570"/>
      <c r="K125" s="570"/>
      <c r="L125" s="570"/>
      <c r="M125" s="570"/>
      <c r="N125" s="570"/>
      <c r="O125" s="570"/>
      <c r="P125" s="570"/>
      <c r="Q125" s="570"/>
      <c r="R125" s="570"/>
      <c r="S125" s="570"/>
      <c r="T125" s="314">
        <f t="shared" ref="T125:AG125" si="338">SUM(T117,T120)</f>
        <v>51.4</v>
      </c>
      <c r="U125" s="326">
        <f t="shared" si="338"/>
        <v>54.04999999999999</v>
      </c>
      <c r="V125" s="555">
        <f t="shared" si="338"/>
        <v>105.39999999999999</v>
      </c>
      <c r="W125" s="314">
        <f t="shared" si="338"/>
        <v>56.899999999999991</v>
      </c>
      <c r="X125" s="326">
        <f t="shared" si="338"/>
        <v>64.200000000000017</v>
      </c>
      <c r="Y125" s="555">
        <f t="shared" si="338"/>
        <v>121.1</v>
      </c>
      <c r="Z125" s="314">
        <f t="shared" si="338"/>
        <v>65.399999999999991</v>
      </c>
      <c r="AA125" s="314">
        <f t="shared" si="338"/>
        <v>73.699999999999989</v>
      </c>
      <c r="AB125" s="555">
        <f t="shared" si="338"/>
        <v>139.1</v>
      </c>
      <c r="AC125" s="314">
        <f t="shared" si="338"/>
        <v>78.03000000000003</v>
      </c>
      <c r="AD125" s="314">
        <f t="shared" si="338"/>
        <v>87.799999999999983</v>
      </c>
      <c r="AE125" s="555">
        <f t="shared" si="338"/>
        <v>165.79999999999995</v>
      </c>
      <c r="AF125" s="314">
        <f>SUM(AF117,AF120)</f>
        <v>85.200000000000017</v>
      </c>
      <c r="AG125" s="314">
        <f t="shared" si="338"/>
        <v>88.4</v>
      </c>
      <c r="AH125" s="555">
        <f>SUM(AH117,AH120)</f>
        <v>173.60000000000002</v>
      </c>
      <c r="AI125" s="314">
        <f>SUM(AI117,AI120)</f>
        <v>67.399999999999991</v>
      </c>
      <c r="AJ125" s="314">
        <f t="shared" ref="AJ125" si="339">SUM(AJ117,AJ120)</f>
        <v>12.599999999999994</v>
      </c>
      <c r="AK125" s="555">
        <f>SUM(AK117,AK120)</f>
        <v>80</v>
      </c>
      <c r="AL125" s="314">
        <f>SUM(AL117,AL120)</f>
        <v>12.600000000000001</v>
      </c>
      <c r="AM125" s="314">
        <f t="shared" ref="AM125" si="340">SUM(AM117,AM120)</f>
        <v>48.9</v>
      </c>
      <c r="AN125" s="555">
        <f>SUM(AN117,AN120)</f>
        <v>61.499999999999993</v>
      </c>
      <c r="AO125" s="314">
        <f>SUM(AO117,AO120)</f>
        <v>68.399999999999991</v>
      </c>
      <c r="AP125" s="571">
        <f t="shared" ref="AP125:AQ125" si="341">SUM(AP117,AP120)</f>
        <v>85.8</v>
      </c>
      <c r="AQ125" s="555">
        <f t="shared" si="341"/>
        <v>154.19999999999999</v>
      </c>
      <c r="AR125" s="314">
        <f>SUM(AR117,AR120)</f>
        <v>66.7</v>
      </c>
      <c r="AS125" s="571">
        <f t="shared" ref="AS125:AT125" si="342">SUM(AS117,AS120)</f>
        <v>71.599999999999994</v>
      </c>
      <c r="AT125" s="555">
        <f t="shared" si="342"/>
        <v>138.30000000000001</v>
      </c>
      <c r="AU125" s="314">
        <f>AU117+AU122</f>
        <v>40.200000000000003</v>
      </c>
      <c r="AV125" s="571">
        <f>AV117+AV122</f>
        <v>35.658262164630216</v>
      </c>
      <c r="AW125" s="555">
        <f t="shared" ref="AW125:AZ125" si="343">AW117+AW122</f>
        <v>75.878269277371146</v>
      </c>
      <c r="AX125" s="314">
        <f t="shared" si="343"/>
        <v>12.357472957052801</v>
      </c>
      <c r="AY125" s="571">
        <f t="shared" si="343"/>
        <v>8.591647714993778</v>
      </c>
      <c r="AZ125" s="555">
        <f t="shared" si="343"/>
        <v>20.949120672046579</v>
      </c>
    </row>
    <row r="126" spans="2:52" s="142" customFormat="1" outlineLevel="1" x14ac:dyDescent="0.3">
      <c r="B126" s="606" t="s">
        <v>594</v>
      </c>
      <c r="C126" s="570"/>
      <c r="D126" s="570"/>
      <c r="E126" s="570"/>
      <c r="F126" s="570"/>
      <c r="G126" s="570"/>
      <c r="H126" s="570"/>
      <c r="I126" s="570"/>
      <c r="J126" s="570"/>
      <c r="K126" s="570"/>
      <c r="L126" s="570"/>
      <c r="M126" s="570"/>
      <c r="N126" s="570"/>
      <c r="O126" s="570"/>
      <c r="P126" s="570"/>
      <c r="Q126" s="570"/>
      <c r="R126" s="570"/>
      <c r="S126" s="570"/>
      <c r="T126" s="314">
        <v>0</v>
      </c>
      <c r="U126" s="326">
        <f>V126-T126</f>
        <v>0.2</v>
      </c>
      <c r="V126" s="555">
        <v>0.2</v>
      </c>
      <c r="W126" s="314">
        <v>0</v>
      </c>
      <c r="X126" s="326">
        <f>Y126-W126</f>
        <v>3.4</v>
      </c>
      <c r="Y126" s="555">
        <v>3.4</v>
      </c>
      <c r="Z126" s="314" t="s">
        <v>3</v>
      </c>
      <c r="AA126" s="314" t="s">
        <v>3</v>
      </c>
      <c r="AB126" s="555" t="s">
        <v>3</v>
      </c>
      <c r="AC126" s="314" t="s">
        <v>3</v>
      </c>
      <c r="AD126" s="314" t="s">
        <v>3</v>
      </c>
      <c r="AE126" s="555" t="s">
        <v>3</v>
      </c>
      <c r="AF126" s="314" t="s">
        <v>3</v>
      </c>
      <c r="AG126" s="326" t="s">
        <v>3</v>
      </c>
      <c r="AH126" s="555" t="s">
        <v>3</v>
      </c>
      <c r="AI126" s="314" t="s">
        <v>3</v>
      </c>
      <c r="AJ126" s="326" t="s">
        <v>3</v>
      </c>
      <c r="AK126" s="555" t="s">
        <v>3</v>
      </c>
      <c r="AL126" s="314" t="s">
        <v>3</v>
      </c>
      <c r="AM126" s="326" t="s">
        <v>3</v>
      </c>
      <c r="AN126" s="555" t="s">
        <v>3</v>
      </c>
      <c r="AO126" s="314" t="s">
        <v>3</v>
      </c>
      <c r="AP126" s="571"/>
      <c r="AQ126" s="555"/>
      <c r="AR126" s="314"/>
      <c r="AS126" s="571"/>
      <c r="AT126" s="555"/>
      <c r="AU126" s="314"/>
      <c r="AV126" s="571"/>
      <c r="AW126" s="555"/>
      <c r="AX126" s="314"/>
      <c r="AY126" s="571"/>
      <c r="AZ126" s="555"/>
    </row>
    <row r="127" spans="2:52" s="574" customFormat="1" x14ac:dyDescent="0.3">
      <c r="B127" s="598" t="s">
        <v>578</v>
      </c>
      <c r="C127" s="598"/>
      <c r="D127" s="598"/>
      <c r="E127" s="598"/>
      <c r="F127" s="598"/>
      <c r="G127" s="598"/>
      <c r="H127" s="598"/>
      <c r="I127" s="598"/>
      <c r="J127" s="598"/>
      <c r="K127" s="598"/>
      <c r="L127" s="598"/>
      <c r="M127" s="598"/>
      <c r="N127" s="598"/>
      <c r="O127" s="598"/>
      <c r="P127" s="598"/>
      <c r="Q127" s="598"/>
      <c r="R127" s="598"/>
      <c r="S127" s="598"/>
      <c r="T127" s="318">
        <f t="shared" ref="T127:AE127" si="344">SUM(T123,T126)</f>
        <v>51.4</v>
      </c>
      <c r="U127" s="318">
        <f t="shared" si="344"/>
        <v>54.249999999999993</v>
      </c>
      <c r="V127" s="599">
        <f t="shared" si="344"/>
        <v>105.6</v>
      </c>
      <c r="W127" s="318">
        <f t="shared" si="344"/>
        <v>56.899999999999991</v>
      </c>
      <c r="X127" s="318">
        <f t="shared" si="344"/>
        <v>67.600000000000023</v>
      </c>
      <c r="Y127" s="599">
        <f t="shared" si="344"/>
        <v>124.5</v>
      </c>
      <c r="Z127" s="318">
        <f t="shared" si="344"/>
        <v>65.399999999999991</v>
      </c>
      <c r="AA127" s="318">
        <f t="shared" si="344"/>
        <v>73.699999999999989</v>
      </c>
      <c r="AB127" s="599">
        <f t="shared" si="344"/>
        <v>139.1</v>
      </c>
      <c r="AC127" s="318">
        <f t="shared" si="344"/>
        <v>78.03000000000003</v>
      </c>
      <c r="AD127" s="318">
        <f t="shared" si="344"/>
        <v>87.799999999999983</v>
      </c>
      <c r="AE127" s="599">
        <f t="shared" si="344"/>
        <v>165.79999999999995</v>
      </c>
      <c r="AF127" s="318">
        <f t="shared" ref="AF127:AK127" si="345">SUM(AF123,AF126)</f>
        <v>85.200000000000017</v>
      </c>
      <c r="AG127" s="318">
        <f t="shared" si="345"/>
        <v>76.500000000000028</v>
      </c>
      <c r="AH127" s="599">
        <f t="shared" si="345"/>
        <v>161.70000000000002</v>
      </c>
      <c r="AI127" s="318">
        <f t="shared" si="345"/>
        <v>67.399999999999991</v>
      </c>
      <c r="AJ127" s="318">
        <f t="shared" si="345"/>
        <v>-19.900000000000013</v>
      </c>
      <c r="AK127" s="599">
        <f t="shared" si="345"/>
        <v>47.499999999999993</v>
      </c>
      <c r="AL127" s="318">
        <f t="shared" ref="AL127:AM127" si="346">SUM(AL123,AL126)</f>
        <v>12.600000000000001</v>
      </c>
      <c r="AM127" s="318">
        <f t="shared" si="346"/>
        <v>48.9</v>
      </c>
      <c r="AN127" s="599">
        <f t="shared" ref="AN127:AQ127" si="347">SUM(AN123,AN126)</f>
        <v>61.499999999999993</v>
      </c>
      <c r="AO127" s="318">
        <f t="shared" si="347"/>
        <v>68.399999999999991</v>
      </c>
      <c r="AP127" s="614">
        <f t="shared" si="347"/>
        <v>85.800000000000026</v>
      </c>
      <c r="AQ127" s="599">
        <f t="shared" si="347"/>
        <v>154.20000000000002</v>
      </c>
      <c r="AR127" s="318">
        <f>SUM(AR123,AR126)</f>
        <v>66.7</v>
      </c>
      <c r="AS127" s="614">
        <f t="shared" ref="AS127:AT127" si="348">SUM(AS123,AS126)</f>
        <v>71.625155918977583</v>
      </c>
      <c r="AT127" s="599">
        <f t="shared" si="348"/>
        <v>138.3251559189776</v>
      </c>
      <c r="AU127" s="318">
        <f>SUM(AU123,AU126)</f>
        <v>12.3</v>
      </c>
      <c r="AV127" s="614">
        <f>SUM(AV123,AV126)</f>
        <v>-16.441737835369779</v>
      </c>
      <c r="AW127" s="599">
        <f t="shared" ref="AW127:AZ127" si="349">SUM(AW123,AW126)</f>
        <v>-4.1217307226288522</v>
      </c>
      <c r="AX127" s="318">
        <f t="shared" si="349"/>
        <v>2.4574729570528007</v>
      </c>
      <c r="AY127" s="614">
        <f t="shared" si="349"/>
        <v>-12.208352285006224</v>
      </c>
      <c r="AZ127" s="599">
        <f t="shared" si="349"/>
        <v>-9.7508793279534256</v>
      </c>
    </row>
    <row r="128" spans="2:52" s="225" customFormat="1" x14ac:dyDescent="0.3">
      <c r="T128" s="312"/>
      <c r="U128" s="312"/>
      <c r="V128" s="566"/>
      <c r="W128" s="312"/>
      <c r="X128" s="312"/>
      <c r="Y128" s="566"/>
      <c r="Z128" s="312"/>
      <c r="AA128" s="312"/>
      <c r="AB128" s="566"/>
      <c r="AC128" s="312"/>
      <c r="AD128" s="312"/>
      <c r="AE128" s="566"/>
      <c r="AF128" s="312"/>
      <c r="AG128" s="312"/>
      <c r="AH128" s="566"/>
      <c r="AI128" s="312"/>
      <c r="AJ128" s="568"/>
      <c r="AK128" s="566"/>
      <c r="AL128" s="568"/>
      <c r="AM128" s="568"/>
      <c r="AN128" s="566"/>
      <c r="AO128" s="568"/>
      <c r="AP128" s="568"/>
      <c r="AQ128" s="566"/>
      <c r="AR128" s="568"/>
      <c r="AS128" s="568"/>
      <c r="AT128" s="566"/>
      <c r="AU128" s="568"/>
      <c r="AV128" s="568"/>
      <c r="AW128" s="566"/>
      <c r="AX128" s="568"/>
      <c r="AY128" s="568"/>
      <c r="AZ128" s="566"/>
    </row>
    <row r="129" spans="2:52" s="225" customFormat="1" x14ac:dyDescent="0.3">
      <c r="B129" s="569" t="s">
        <v>132</v>
      </c>
      <c r="C129" s="569"/>
      <c r="D129" s="569"/>
      <c r="E129" s="569"/>
      <c r="F129" s="569"/>
      <c r="G129" s="569"/>
      <c r="H129" s="569"/>
      <c r="I129" s="569"/>
      <c r="J129" s="569"/>
      <c r="K129" s="569"/>
      <c r="L129" s="569"/>
      <c r="M129" s="569"/>
      <c r="N129" s="569"/>
      <c r="O129" s="569"/>
      <c r="P129" s="569"/>
      <c r="Q129" s="569"/>
      <c r="R129" s="569"/>
      <c r="S129" s="569"/>
      <c r="T129" s="312"/>
      <c r="U129" s="577"/>
      <c r="V129" s="566"/>
      <c r="W129" s="312"/>
      <c r="X129" s="312"/>
      <c r="Y129" s="566"/>
      <c r="Z129" s="312"/>
      <c r="AA129" s="312"/>
      <c r="AB129" s="566"/>
      <c r="AC129" s="312"/>
      <c r="AD129" s="312"/>
      <c r="AE129" s="566"/>
      <c r="AF129" s="312"/>
      <c r="AG129" s="312"/>
      <c r="AH129" s="566"/>
      <c r="AI129" s="312"/>
      <c r="AJ129" s="568"/>
      <c r="AK129" s="566"/>
      <c r="AL129" s="568"/>
      <c r="AM129" s="568"/>
      <c r="AN129" s="566"/>
      <c r="AO129" s="568"/>
      <c r="AP129" s="568"/>
      <c r="AQ129" s="566"/>
      <c r="AR129" s="568"/>
      <c r="AS129" s="568"/>
      <c r="AT129" s="566"/>
      <c r="AU129" s="568"/>
      <c r="AV129" s="568"/>
      <c r="AW129" s="566"/>
      <c r="AX129" s="568"/>
      <c r="AY129" s="568"/>
      <c r="AZ129" s="566"/>
    </row>
    <row r="130" spans="2:52" s="582" customFormat="1" x14ac:dyDescent="0.3">
      <c r="B130" s="583" t="s">
        <v>569</v>
      </c>
      <c r="C130" s="583"/>
      <c r="D130" s="583"/>
      <c r="E130" s="583"/>
      <c r="F130" s="583"/>
      <c r="G130" s="583"/>
      <c r="H130" s="583"/>
      <c r="I130" s="583"/>
      <c r="J130" s="583"/>
      <c r="K130" s="583"/>
      <c r="L130" s="583"/>
      <c r="M130" s="583"/>
      <c r="N130" s="583"/>
      <c r="O130" s="583"/>
      <c r="P130" s="583"/>
      <c r="Q130" s="583"/>
      <c r="R130" s="583"/>
      <c r="S130" s="583"/>
      <c r="T130" s="329">
        <v>3.64</v>
      </c>
      <c r="U130" s="329">
        <v>3.8000000000000003</v>
      </c>
      <c r="V130" s="584">
        <v>7.44</v>
      </c>
      <c r="W130" s="329">
        <v>3.99</v>
      </c>
      <c r="X130" s="329">
        <f>Y130-W130</f>
        <v>4.49</v>
      </c>
      <c r="Y130" s="584">
        <v>8.48</v>
      </c>
      <c r="Z130" s="329">
        <v>4.55</v>
      </c>
      <c r="AA130" s="329">
        <f>AB130-Z130</f>
        <v>5.1100000000000003</v>
      </c>
      <c r="AB130" s="584">
        <v>9.66</v>
      </c>
      <c r="AC130" s="329">
        <v>5.39</v>
      </c>
      <c r="AD130" s="329">
        <f>AE130-AC130</f>
        <v>6.05</v>
      </c>
      <c r="AE130" s="584">
        <v>11.44</v>
      </c>
      <c r="AF130" s="329">
        <v>5.86</v>
      </c>
      <c r="AG130" s="329">
        <f>AH130-AF130</f>
        <v>6.06</v>
      </c>
      <c r="AH130" s="584">
        <v>11.92</v>
      </c>
      <c r="AI130" s="329">
        <v>4.5999999999999996</v>
      </c>
      <c r="AJ130" s="329">
        <f>AK130-AI130</f>
        <v>0.6800000000000006</v>
      </c>
      <c r="AK130" s="584">
        <v>5.28</v>
      </c>
      <c r="AL130" s="585">
        <v>0.75</v>
      </c>
      <c r="AM130" s="329">
        <f>AN130-AL130</f>
        <v>2.92</v>
      </c>
      <c r="AN130" s="584">
        <v>3.67</v>
      </c>
      <c r="AO130" s="585">
        <v>4.08</v>
      </c>
      <c r="AP130" s="329">
        <f>AQ130-AO130</f>
        <v>5.1400000000000006</v>
      </c>
      <c r="AQ130" s="584">
        <v>9.2200000000000006</v>
      </c>
      <c r="AR130" s="585">
        <v>4.1100000000000003</v>
      </c>
      <c r="AS130" s="329">
        <f>AT130-AR130</f>
        <v>4.4799999999999995</v>
      </c>
      <c r="AT130" s="584">
        <v>8.59</v>
      </c>
      <c r="AU130" s="585">
        <v>2.37</v>
      </c>
      <c r="AV130" s="329">
        <f>[1]Interims!BO99</f>
        <v>1.6600000000000001</v>
      </c>
      <c r="AW130" s="584">
        <f>[1]Interims!BP99</f>
        <v>4.03</v>
      </c>
      <c r="AX130" s="585">
        <f>[1]Interims!BQ99</f>
        <v>0.81</v>
      </c>
      <c r="AY130" s="329">
        <f>[1]Interims!BR99</f>
        <v>0.5</v>
      </c>
      <c r="AZ130" s="584">
        <f>[1]Interims!BS99</f>
        <v>1.31</v>
      </c>
    </row>
    <row r="131" spans="2:52" s="425" customFormat="1" ht="11.5" x14ac:dyDescent="0.25">
      <c r="B131" s="426" t="s">
        <v>109</v>
      </c>
      <c r="C131" s="426"/>
      <c r="D131" s="426"/>
      <c r="E131" s="426"/>
      <c r="F131" s="426"/>
      <c r="G131" s="426"/>
      <c r="H131" s="426"/>
      <c r="I131" s="426"/>
      <c r="J131" s="426"/>
      <c r="K131" s="426"/>
      <c r="L131" s="426"/>
      <c r="M131" s="426"/>
      <c r="N131" s="426"/>
      <c r="O131" s="426"/>
      <c r="P131" s="426"/>
      <c r="Q131" s="426"/>
      <c r="R131" s="426"/>
      <c r="S131" s="426"/>
      <c r="T131" s="427">
        <v>0.26</v>
      </c>
      <c r="U131" s="427">
        <v>0.18</v>
      </c>
      <c r="V131" s="428" t="str">
        <f>IFERROR(V130/#REF!-1,"")</f>
        <v/>
      </c>
      <c r="W131" s="427">
        <f t="shared" ref="W131:AE131" si="350">IFERROR(W130/T130-1,"")</f>
        <v>9.6153846153846256E-2</v>
      </c>
      <c r="X131" s="429">
        <f t="shared" si="350"/>
        <v>0.18157894736842106</v>
      </c>
      <c r="Y131" s="428">
        <f t="shared" si="350"/>
        <v>0.13978494623655924</v>
      </c>
      <c r="Z131" s="427">
        <f t="shared" si="350"/>
        <v>0.14035087719298245</v>
      </c>
      <c r="AA131" s="427">
        <f t="shared" si="350"/>
        <v>0.13808463251670378</v>
      </c>
      <c r="AB131" s="428">
        <f t="shared" si="350"/>
        <v>0.13915094339622636</v>
      </c>
      <c r="AC131" s="427">
        <f t="shared" si="350"/>
        <v>0.18461538461538463</v>
      </c>
      <c r="AD131" s="427">
        <f t="shared" si="350"/>
        <v>0.18395303326810164</v>
      </c>
      <c r="AE131" s="428">
        <f t="shared" si="350"/>
        <v>0.18426501035196674</v>
      </c>
      <c r="AF131" s="427">
        <f t="shared" ref="AF131" si="351">IFERROR(AF130/AC130-1,"")</f>
        <v>8.7198515769944418E-2</v>
      </c>
      <c r="AG131" s="427">
        <f t="shared" ref="AG131" si="352">IFERROR(AG130/AD130-1,"")</f>
        <v>1.6528925619834212E-3</v>
      </c>
      <c r="AH131" s="428">
        <f t="shared" ref="AH131:AO131" si="353">IFERROR(AH130/AE130-1,"")</f>
        <v>4.1958041958042092E-2</v>
      </c>
      <c r="AI131" s="427">
        <f t="shared" si="353"/>
        <v>-0.21501706484641647</v>
      </c>
      <c r="AJ131" s="427">
        <f t="shared" si="353"/>
        <v>-0.88778877887788765</v>
      </c>
      <c r="AK131" s="428">
        <f t="shared" si="353"/>
        <v>-0.55704697986577179</v>
      </c>
      <c r="AL131" s="427">
        <f t="shared" si="353"/>
        <v>-0.83695652173913038</v>
      </c>
      <c r="AM131" s="427">
        <f t="shared" si="353"/>
        <v>3.2941176470588198</v>
      </c>
      <c r="AN131" s="428">
        <f t="shared" si="353"/>
        <v>-0.30492424242424243</v>
      </c>
      <c r="AO131" s="427">
        <f t="shared" si="353"/>
        <v>4.4400000000000004</v>
      </c>
      <c r="AP131" s="429">
        <f t="shared" ref="AP131" si="354">IFERROR(AP130/AM130-1,"")</f>
        <v>0.76027397260273988</v>
      </c>
      <c r="AQ131" s="428">
        <f t="shared" ref="AQ131:AU131" si="355">IFERROR(AQ130/AN130-1,"")</f>
        <v>1.5122615803814714</v>
      </c>
      <c r="AR131" s="427">
        <f t="shared" si="355"/>
        <v>7.3529411764705621E-3</v>
      </c>
      <c r="AS131" s="429">
        <f t="shared" si="355"/>
        <v>-0.1284046692607006</v>
      </c>
      <c r="AT131" s="428">
        <f t="shared" si="355"/>
        <v>-6.8329718004338513E-2</v>
      </c>
      <c r="AU131" s="427">
        <f t="shared" si="355"/>
        <v>-0.42335766423357668</v>
      </c>
      <c r="AV131" s="429">
        <f>AV130/AS130-1</f>
        <v>-0.62946428571428559</v>
      </c>
      <c r="AW131" s="428">
        <f t="shared" ref="AW131:AZ131" si="356">AW130/AT130-1</f>
        <v>-0.53084982537834691</v>
      </c>
      <c r="AX131" s="427">
        <f t="shared" si="356"/>
        <v>-0.65822784810126578</v>
      </c>
      <c r="AY131" s="429">
        <f t="shared" si="356"/>
        <v>-0.6987951807228916</v>
      </c>
      <c r="AZ131" s="428">
        <f t="shared" si="356"/>
        <v>-0.67493796526054584</v>
      </c>
    </row>
    <row r="132" spans="2:52" s="582" customFormat="1" x14ac:dyDescent="0.3">
      <c r="B132" s="583" t="s">
        <v>570</v>
      </c>
      <c r="C132" s="583"/>
      <c r="D132" s="583"/>
      <c r="E132" s="583"/>
      <c r="F132" s="583"/>
      <c r="G132" s="583"/>
      <c r="H132" s="583"/>
      <c r="I132" s="583"/>
      <c r="J132" s="583"/>
      <c r="K132" s="583"/>
      <c r="L132" s="583"/>
      <c r="M132" s="583"/>
      <c r="N132" s="583"/>
      <c r="O132" s="583"/>
      <c r="P132" s="583"/>
      <c r="Q132" s="583"/>
      <c r="R132" s="583"/>
      <c r="S132" s="583"/>
      <c r="T132" s="329">
        <v>3.59</v>
      </c>
      <c r="U132" s="329">
        <v>3.7248726490387938</v>
      </c>
      <c r="V132" s="584">
        <f>IFERROR(((V$123/V150)*100),"")</f>
        <v>7.3148726490387936</v>
      </c>
      <c r="W132" s="329">
        <v>3.94</v>
      </c>
      <c r="X132" s="329">
        <f>Y132-W132</f>
        <v>4.43</v>
      </c>
      <c r="Y132" s="584">
        <v>8.3699999999999992</v>
      </c>
      <c r="Z132" s="329">
        <v>4.5</v>
      </c>
      <c r="AA132" s="329">
        <f>AB132-Z132</f>
        <v>5.0399999999999991</v>
      </c>
      <c r="AB132" s="584">
        <v>9.5399999999999991</v>
      </c>
      <c r="AC132" s="329">
        <v>5.33</v>
      </c>
      <c r="AD132" s="329">
        <f>AE132-AC132</f>
        <v>5.9727472902038272</v>
      </c>
      <c r="AE132" s="584">
        <f>IFERROR(((AE$123/AE150)*100),"")</f>
        <v>11.302747290203827</v>
      </c>
      <c r="AF132" s="329">
        <v>5.79</v>
      </c>
      <c r="AG132" s="329">
        <f>AH132-AF132</f>
        <v>5.9799999999999995</v>
      </c>
      <c r="AH132" s="584">
        <v>11.77</v>
      </c>
      <c r="AI132" s="329">
        <v>4.5599999999999996</v>
      </c>
      <c r="AJ132" s="329">
        <f>AK132-AI132</f>
        <v>0.67000000000000082</v>
      </c>
      <c r="AK132" s="584">
        <v>5.23</v>
      </c>
      <c r="AL132" s="585">
        <v>0.75</v>
      </c>
      <c r="AM132" s="329">
        <f>AN132-AL132</f>
        <v>2.89</v>
      </c>
      <c r="AN132" s="584">
        <v>3.64</v>
      </c>
      <c r="AO132" s="585">
        <v>4.04</v>
      </c>
      <c r="AP132" s="329">
        <f>AQ132-AO132</f>
        <v>5.0699999999999994</v>
      </c>
      <c r="AQ132" s="584">
        <v>9.11</v>
      </c>
      <c r="AR132" s="585">
        <v>4.08</v>
      </c>
      <c r="AS132" s="329">
        <f>AT132-AR132</f>
        <v>4.3000000000000007</v>
      </c>
      <c r="AT132" s="584">
        <v>8.3800000000000008</v>
      </c>
      <c r="AU132" s="585">
        <v>2.36</v>
      </c>
      <c r="AV132" s="329">
        <f>[1]Interims!BO100</f>
        <v>1.676100552495023</v>
      </c>
      <c r="AW132" s="584">
        <v>4</v>
      </c>
      <c r="AX132" s="585">
        <f>[1]Interims!BQ100</f>
        <v>0.8</v>
      </c>
      <c r="AY132" s="329">
        <f>[1]Interims!BR100</f>
        <v>0.5</v>
      </c>
      <c r="AZ132" s="584">
        <f>[1]Interims!BS100</f>
        <v>1.3</v>
      </c>
    </row>
    <row r="133" spans="2:52" s="430" customFormat="1" ht="11.5" x14ac:dyDescent="0.25">
      <c r="B133" s="431" t="s">
        <v>109</v>
      </c>
      <c r="C133" s="431"/>
      <c r="D133" s="431"/>
      <c r="E133" s="431"/>
      <c r="F133" s="431"/>
      <c r="G133" s="431"/>
      <c r="H133" s="431"/>
      <c r="I133" s="431"/>
      <c r="J133" s="431"/>
      <c r="K133" s="431"/>
      <c r="L133" s="431"/>
      <c r="M133" s="431"/>
      <c r="N133" s="431"/>
      <c r="O133" s="431"/>
      <c r="P133" s="431"/>
      <c r="Q133" s="431"/>
      <c r="R133" s="431"/>
      <c r="S133" s="431"/>
      <c r="T133" s="427">
        <v>0.26</v>
      </c>
      <c r="U133" s="427">
        <v>0.19</v>
      </c>
      <c r="V133" s="428" t="str">
        <f>IFERROR(V132/#REF!-1,"")</f>
        <v/>
      </c>
      <c r="W133" s="427">
        <f>IFERROR(W132/T132-1,"")</f>
        <v>9.7493036211699247E-2</v>
      </c>
      <c r="X133" s="427">
        <f t="shared" ref="X133:AF133" si="357">IFERROR(X132/U132-1,"")</f>
        <v>0.18930240504817375</v>
      </c>
      <c r="Y133" s="428">
        <f t="shared" si="357"/>
        <v>0.14424411764705902</v>
      </c>
      <c r="Z133" s="427">
        <f t="shared" si="357"/>
        <v>0.14213197969543145</v>
      </c>
      <c r="AA133" s="427">
        <f t="shared" si="357"/>
        <v>0.13769751693002252</v>
      </c>
      <c r="AB133" s="428">
        <f t="shared" si="357"/>
        <v>0.13978494623655924</v>
      </c>
      <c r="AC133" s="427">
        <f t="shared" si="357"/>
        <v>0.18444444444444441</v>
      </c>
      <c r="AD133" s="427">
        <f t="shared" si="357"/>
        <v>0.18506890678647392</v>
      </c>
      <c r="AE133" s="428">
        <f t="shared" si="357"/>
        <v>0.18477434907796941</v>
      </c>
      <c r="AF133" s="427">
        <f t="shared" si="357"/>
        <v>8.6303939962476539E-2</v>
      </c>
      <c r="AG133" s="427">
        <f t="shared" ref="AG133" si="358">IFERROR(AG132/AD132-1,"")</f>
        <v>1.2143004623799136E-3</v>
      </c>
      <c r="AH133" s="428">
        <f t="shared" ref="AH133:AU133" si="359">IFERROR(AH132/AE132-1,"")</f>
        <v>4.1339746682750533E-2</v>
      </c>
      <c r="AI133" s="427">
        <f t="shared" si="359"/>
        <v>-0.21243523316062185</v>
      </c>
      <c r="AJ133" s="427">
        <f t="shared" si="359"/>
        <v>-0.88795986622073564</v>
      </c>
      <c r="AK133" s="428">
        <f t="shared" si="359"/>
        <v>-0.55564995751911628</v>
      </c>
      <c r="AL133" s="427">
        <f t="shared" si="359"/>
        <v>-0.83552631578947367</v>
      </c>
      <c r="AM133" s="427">
        <f t="shared" si="359"/>
        <v>3.3134328358208904</v>
      </c>
      <c r="AN133" s="428">
        <f t="shared" si="359"/>
        <v>-0.30401529636711289</v>
      </c>
      <c r="AO133" s="427">
        <f t="shared" si="359"/>
        <v>4.3866666666666667</v>
      </c>
      <c r="AP133" s="427">
        <f t="shared" si="359"/>
        <v>0.75432525951557072</v>
      </c>
      <c r="AQ133" s="428">
        <f t="shared" si="359"/>
        <v>1.5027472527472523</v>
      </c>
      <c r="AR133" s="427">
        <f t="shared" si="359"/>
        <v>9.9009900990099098E-3</v>
      </c>
      <c r="AS133" s="427">
        <f t="shared" si="359"/>
        <v>-0.15187376725838242</v>
      </c>
      <c r="AT133" s="428">
        <f t="shared" si="359"/>
        <v>-8.0131723380900022E-2</v>
      </c>
      <c r="AU133" s="427">
        <f t="shared" si="359"/>
        <v>-0.42156862745098045</v>
      </c>
      <c r="AV133" s="427">
        <f>AV132/AS132-1</f>
        <v>-0.61020917383836681</v>
      </c>
      <c r="AW133" s="428">
        <f t="shared" ref="AW133:AZ133" si="360">AW132/AT132-1</f>
        <v>-0.52267303102625307</v>
      </c>
      <c r="AX133" s="427">
        <f t="shared" si="360"/>
        <v>-0.66101694915254239</v>
      </c>
      <c r="AY133" s="427">
        <f t="shared" si="360"/>
        <v>-0.7016885417430917</v>
      </c>
      <c r="AZ133" s="428">
        <f t="shared" si="360"/>
        <v>-0.67500000000000004</v>
      </c>
    </row>
    <row r="134" spans="2:52" s="225" customFormat="1" x14ac:dyDescent="0.3">
      <c r="T134" s="312"/>
      <c r="U134" s="577"/>
      <c r="V134" s="566"/>
      <c r="W134" s="312"/>
      <c r="X134" s="312"/>
      <c r="Y134" s="566"/>
      <c r="Z134" s="312"/>
      <c r="AA134" s="312"/>
      <c r="AB134" s="566"/>
      <c r="AC134" s="312"/>
      <c r="AD134" s="312"/>
      <c r="AE134" s="566"/>
      <c r="AF134" s="312"/>
      <c r="AG134" s="312"/>
      <c r="AH134" s="566"/>
      <c r="AI134" s="312"/>
      <c r="AJ134" s="568"/>
      <c r="AK134" s="566"/>
      <c r="AL134" s="568"/>
      <c r="AM134" s="568"/>
      <c r="AN134" s="566"/>
      <c r="AO134" s="568"/>
      <c r="AP134" s="568"/>
      <c r="AQ134" s="566"/>
      <c r="AR134" s="568"/>
      <c r="AS134" s="568"/>
      <c r="AT134" s="566"/>
      <c r="AU134" s="568"/>
      <c r="AV134" s="568"/>
      <c r="AW134" s="566"/>
      <c r="AX134" s="568"/>
      <c r="AY134" s="568"/>
      <c r="AZ134" s="566"/>
    </row>
    <row r="135" spans="2:52" s="225" customFormat="1" outlineLevel="1" x14ac:dyDescent="0.3">
      <c r="B135" s="569" t="s">
        <v>568</v>
      </c>
      <c r="C135" s="569"/>
      <c r="D135" s="569"/>
      <c r="E135" s="569"/>
      <c r="F135" s="569"/>
      <c r="G135" s="569"/>
      <c r="H135" s="569"/>
      <c r="I135" s="569"/>
      <c r="J135" s="569"/>
      <c r="K135" s="569"/>
      <c r="L135" s="569"/>
      <c r="M135" s="569"/>
      <c r="N135" s="569"/>
      <c r="O135" s="569"/>
      <c r="P135" s="569"/>
      <c r="Q135" s="569"/>
      <c r="R135" s="569"/>
      <c r="S135" s="569"/>
      <c r="T135" s="312"/>
      <c r="U135" s="312"/>
      <c r="V135" s="566"/>
      <c r="W135" s="312"/>
      <c r="X135" s="312"/>
      <c r="Y135" s="566"/>
      <c r="Z135" s="312"/>
      <c r="AA135" s="312"/>
      <c r="AB135" s="566"/>
      <c r="AC135" s="312"/>
      <c r="AD135" s="312"/>
      <c r="AE135" s="566"/>
      <c r="AF135" s="312"/>
      <c r="AG135" s="312"/>
      <c r="AH135" s="566"/>
      <c r="AI135" s="312"/>
      <c r="AJ135" s="568"/>
      <c r="AK135" s="566"/>
      <c r="AL135" s="568"/>
      <c r="AM135" s="568"/>
      <c r="AN135" s="566"/>
      <c r="AO135" s="568"/>
      <c r="AP135" s="568"/>
      <c r="AQ135" s="566"/>
      <c r="AR135" s="568"/>
      <c r="AS135" s="568"/>
      <c r="AT135" s="566"/>
      <c r="AU135" s="568"/>
      <c r="AV135" s="568"/>
      <c r="AW135" s="566"/>
      <c r="AX135" s="568"/>
      <c r="AY135" s="568"/>
      <c r="AZ135" s="566"/>
    </row>
    <row r="136" spans="2:52" s="578" customFormat="1" ht="14.5" outlineLevel="1" x14ac:dyDescent="0.35">
      <c r="B136" s="579" t="s">
        <v>571</v>
      </c>
      <c r="C136" s="579"/>
      <c r="D136" s="579"/>
      <c r="E136" s="579"/>
      <c r="F136" s="579"/>
      <c r="G136" s="579"/>
      <c r="H136" s="579"/>
      <c r="I136" s="579"/>
      <c r="J136" s="579"/>
      <c r="K136" s="579"/>
      <c r="L136" s="579"/>
      <c r="M136" s="579"/>
      <c r="N136" s="579"/>
      <c r="O136" s="579"/>
      <c r="P136" s="579"/>
      <c r="Q136" s="579"/>
      <c r="R136" s="579"/>
      <c r="S136" s="579"/>
      <c r="T136" s="330">
        <v>0</v>
      </c>
      <c r="U136" s="330">
        <v>0</v>
      </c>
      <c r="V136" s="580">
        <v>0</v>
      </c>
      <c r="W136" s="330">
        <v>0</v>
      </c>
      <c r="X136" s="330">
        <v>0</v>
      </c>
      <c r="Y136" s="580">
        <v>0</v>
      </c>
      <c r="Z136" s="330">
        <v>0</v>
      </c>
      <c r="AA136" s="330">
        <v>0</v>
      </c>
      <c r="AB136" s="580">
        <v>0</v>
      </c>
      <c r="AC136" s="330">
        <v>0</v>
      </c>
      <c r="AD136" s="330">
        <v>0</v>
      </c>
      <c r="AE136" s="580">
        <v>0</v>
      </c>
      <c r="AF136" s="330">
        <v>0</v>
      </c>
      <c r="AG136" s="330">
        <v>-0.82</v>
      </c>
      <c r="AH136" s="580">
        <v>-0.82</v>
      </c>
      <c r="AI136" s="330">
        <v>0</v>
      </c>
      <c r="AJ136" s="330">
        <f>AK136-AI136</f>
        <v>-2.14</v>
      </c>
      <c r="AK136" s="580">
        <v>-2.14</v>
      </c>
      <c r="AL136" s="330">
        <v>0</v>
      </c>
      <c r="AM136" s="330">
        <f>AN136-AL136</f>
        <v>0</v>
      </c>
      <c r="AN136" s="580">
        <v>0</v>
      </c>
      <c r="AO136" s="330">
        <v>0</v>
      </c>
      <c r="AP136" s="581">
        <v>0</v>
      </c>
      <c r="AQ136" s="580">
        <v>0</v>
      </c>
      <c r="AR136" s="330">
        <v>0</v>
      </c>
      <c r="AS136" s="581">
        <v>0</v>
      </c>
      <c r="AT136" s="580">
        <v>0</v>
      </c>
      <c r="AU136" s="330">
        <v>-1.6</v>
      </c>
      <c r="AV136" s="581">
        <f>AW136-AU136</f>
        <v>-2.7399999999999998</v>
      </c>
      <c r="AW136" s="580">
        <v>-4.34</v>
      </c>
      <c r="AX136" s="330">
        <v>-0.62</v>
      </c>
      <c r="AY136" s="581">
        <f>AZ136-AX136</f>
        <v>-1.1800000000000002</v>
      </c>
      <c r="AZ136" s="580">
        <v>-1.8</v>
      </c>
    </row>
    <row r="137" spans="2:52" s="578" customFormat="1" ht="14.5" outlineLevel="1" x14ac:dyDescent="0.35">
      <c r="B137" s="579" t="s">
        <v>572</v>
      </c>
      <c r="C137" s="579"/>
      <c r="D137" s="579"/>
      <c r="E137" s="579"/>
      <c r="F137" s="579"/>
      <c r="G137" s="579"/>
      <c r="H137" s="579"/>
      <c r="I137" s="579"/>
      <c r="J137" s="579"/>
      <c r="K137" s="579"/>
      <c r="L137" s="579"/>
      <c r="M137" s="579"/>
      <c r="N137" s="579"/>
      <c r="O137" s="579"/>
      <c r="P137" s="579"/>
      <c r="Q137" s="579"/>
      <c r="R137" s="579"/>
      <c r="S137" s="579"/>
      <c r="T137" s="330">
        <v>0</v>
      </c>
      <c r="U137" s="330">
        <v>0</v>
      </c>
      <c r="V137" s="580">
        <v>0</v>
      </c>
      <c r="W137" s="330">
        <v>0</v>
      </c>
      <c r="X137" s="330">
        <v>0</v>
      </c>
      <c r="Y137" s="580">
        <v>0</v>
      </c>
      <c r="Z137" s="330">
        <v>0</v>
      </c>
      <c r="AA137" s="330">
        <v>0</v>
      </c>
      <c r="AB137" s="580">
        <v>0</v>
      </c>
      <c r="AC137" s="330">
        <v>0</v>
      </c>
      <c r="AD137" s="330">
        <v>0</v>
      </c>
      <c r="AE137" s="580">
        <v>0</v>
      </c>
      <c r="AF137" s="330">
        <v>0</v>
      </c>
      <c r="AG137" s="330">
        <v>-0.8</v>
      </c>
      <c r="AH137" s="580">
        <v>-0.8</v>
      </c>
      <c r="AI137" s="330">
        <v>0</v>
      </c>
      <c r="AJ137" s="330">
        <f>AK137-AI137</f>
        <v>-2.13</v>
      </c>
      <c r="AK137" s="580">
        <v>-2.13</v>
      </c>
      <c r="AL137" s="330">
        <v>0</v>
      </c>
      <c r="AM137" s="330">
        <f>AN137-AL137</f>
        <v>0</v>
      </c>
      <c r="AN137" s="580">
        <v>0</v>
      </c>
      <c r="AO137" s="330">
        <v>0</v>
      </c>
      <c r="AP137" s="581">
        <v>0</v>
      </c>
      <c r="AQ137" s="580">
        <v>0</v>
      </c>
      <c r="AR137" s="330">
        <v>0</v>
      </c>
      <c r="AS137" s="581">
        <v>0</v>
      </c>
      <c r="AT137" s="580">
        <v>0</v>
      </c>
      <c r="AU137" s="330">
        <v>-1.59</v>
      </c>
      <c r="AV137" s="581">
        <f>AW137-AU137</f>
        <v>-2.7199999999999998</v>
      </c>
      <c r="AW137" s="580">
        <v>-4.3099999999999996</v>
      </c>
      <c r="AX137" s="330">
        <v>-0.62</v>
      </c>
      <c r="AY137" s="581">
        <f>AZ137-AX137</f>
        <v>-1.1800000000000002</v>
      </c>
      <c r="AZ137" s="580">
        <v>-1.8</v>
      </c>
    </row>
    <row r="138" spans="2:52" s="582" customFormat="1" outlineLevel="1" x14ac:dyDescent="0.3">
      <c r="B138" s="583" t="s">
        <v>133</v>
      </c>
      <c r="C138" s="583"/>
      <c r="D138" s="583"/>
      <c r="E138" s="583"/>
      <c r="F138" s="583"/>
      <c r="G138" s="583"/>
      <c r="H138" s="583"/>
      <c r="I138" s="583"/>
      <c r="J138" s="583"/>
      <c r="K138" s="583"/>
      <c r="L138" s="583"/>
      <c r="M138" s="583"/>
      <c r="N138" s="583"/>
      <c r="O138" s="583"/>
      <c r="P138" s="583"/>
      <c r="Q138" s="583"/>
      <c r="R138" s="583"/>
      <c r="S138" s="583"/>
      <c r="T138" s="329">
        <v>3.64</v>
      </c>
      <c r="U138" s="329">
        <v>3.8000000000000003</v>
      </c>
      <c r="V138" s="584">
        <f t="shared" ref="V138:AH138" si="361">V130+V136</f>
        <v>7.44</v>
      </c>
      <c r="W138" s="329">
        <f t="shared" si="361"/>
        <v>3.99</v>
      </c>
      <c r="X138" s="329">
        <f t="shared" si="361"/>
        <v>4.49</v>
      </c>
      <c r="Y138" s="584">
        <f t="shared" si="361"/>
        <v>8.48</v>
      </c>
      <c r="Z138" s="329">
        <f t="shared" si="361"/>
        <v>4.55</v>
      </c>
      <c r="AA138" s="329">
        <f t="shared" si="361"/>
        <v>5.1100000000000003</v>
      </c>
      <c r="AB138" s="584">
        <f t="shared" si="361"/>
        <v>9.66</v>
      </c>
      <c r="AC138" s="329">
        <f t="shared" si="361"/>
        <v>5.39</v>
      </c>
      <c r="AD138" s="329">
        <f t="shared" si="361"/>
        <v>6.05</v>
      </c>
      <c r="AE138" s="584">
        <f t="shared" si="361"/>
        <v>11.44</v>
      </c>
      <c r="AF138" s="329">
        <f t="shared" si="361"/>
        <v>5.86</v>
      </c>
      <c r="AG138" s="329">
        <f t="shared" si="361"/>
        <v>5.2399999999999993</v>
      </c>
      <c r="AH138" s="584">
        <f t="shared" si="361"/>
        <v>11.1</v>
      </c>
      <c r="AI138" s="329">
        <f t="shared" ref="AI138:AK138" si="362">AI130+AI136</f>
        <v>4.5999999999999996</v>
      </c>
      <c r="AJ138" s="329">
        <f t="shared" si="362"/>
        <v>-1.4599999999999995</v>
      </c>
      <c r="AK138" s="584">
        <f t="shared" si="362"/>
        <v>3.14</v>
      </c>
      <c r="AL138" s="329">
        <f t="shared" ref="AL138:AM138" si="363">AL130+AL136</f>
        <v>0.75</v>
      </c>
      <c r="AM138" s="329">
        <f t="shared" si="363"/>
        <v>2.92</v>
      </c>
      <c r="AN138" s="584">
        <v>3.67</v>
      </c>
      <c r="AO138" s="329">
        <f t="shared" ref="AO138" si="364">AO130+AO136</f>
        <v>4.08</v>
      </c>
      <c r="AP138" s="585">
        <v>5.14</v>
      </c>
      <c r="AQ138" s="584">
        <v>9.2200000000000006</v>
      </c>
      <c r="AR138" s="329">
        <f t="shared" ref="AR138" si="365">AR130+AR136</f>
        <v>4.1100000000000003</v>
      </c>
      <c r="AS138" s="585">
        <f t="shared" ref="AS138:AT138" si="366">AS130+AS136</f>
        <v>4.4799999999999995</v>
      </c>
      <c r="AT138" s="584">
        <f t="shared" si="366"/>
        <v>8.59</v>
      </c>
      <c r="AU138" s="329">
        <v>0.77</v>
      </c>
      <c r="AV138" s="585">
        <f>AW138-AU138</f>
        <v>-1.08</v>
      </c>
      <c r="AW138" s="584">
        <v>-0.31</v>
      </c>
      <c r="AX138" s="329">
        <v>0.19</v>
      </c>
      <c r="AY138" s="581">
        <f>AZ138-AX138</f>
        <v>-0.67999999999999994</v>
      </c>
      <c r="AZ138" s="584">
        <v>-0.49</v>
      </c>
    </row>
    <row r="139" spans="2:52" s="582" customFormat="1" outlineLevel="1" x14ac:dyDescent="0.3">
      <c r="B139" s="583" t="s">
        <v>134</v>
      </c>
      <c r="C139" s="583"/>
      <c r="D139" s="583"/>
      <c r="E139" s="583"/>
      <c r="F139" s="583"/>
      <c r="G139" s="583"/>
      <c r="H139" s="583"/>
      <c r="I139" s="583"/>
      <c r="J139" s="583"/>
      <c r="K139" s="583"/>
      <c r="L139" s="583"/>
      <c r="M139" s="583"/>
      <c r="N139" s="583"/>
      <c r="O139" s="583"/>
      <c r="P139" s="583"/>
      <c r="Q139" s="583"/>
      <c r="R139" s="583"/>
      <c r="S139" s="583"/>
      <c r="T139" s="329">
        <v>3.59</v>
      </c>
      <c r="U139" s="329">
        <v>3.7248726490387938</v>
      </c>
      <c r="V139" s="584">
        <f t="shared" ref="V139:AH139" si="367">V132+V137</f>
        <v>7.3148726490387936</v>
      </c>
      <c r="W139" s="329">
        <f t="shared" si="367"/>
        <v>3.94</v>
      </c>
      <c r="X139" s="329">
        <f t="shared" si="367"/>
        <v>4.43</v>
      </c>
      <c r="Y139" s="584">
        <f t="shared" si="367"/>
        <v>8.3699999999999992</v>
      </c>
      <c r="Z139" s="329">
        <f t="shared" si="367"/>
        <v>4.5</v>
      </c>
      <c r="AA139" s="329">
        <f t="shared" si="367"/>
        <v>5.0399999999999991</v>
      </c>
      <c r="AB139" s="584">
        <f t="shared" si="367"/>
        <v>9.5399999999999991</v>
      </c>
      <c r="AC139" s="329">
        <f t="shared" si="367"/>
        <v>5.33</v>
      </c>
      <c r="AD139" s="329">
        <f t="shared" si="367"/>
        <v>5.9727472902038272</v>
      </c>
      <c r="AE139" s="584">
        <f t="shared" si="367"/>
        <v>11.302747290203827</v>
      </c>
      <c r="AF139" s="329">
        <f t="shared" si="367"/>
        <v>5.79</v>
      </c>
      <c r="AG139" s="329">
        <f t="shared" si="367"/>
        <v>5.18</v>
      </c>
      <c r="AH139" s="584">
        <f t="shared" si="367"/>
        <v>10.969999999999999</v>
      </c>
      <c r="AI139" s="329">
        <f t="shared" ref="AI139:AK139" si="368">AI132+AI137</f>
        <v>4.5599999999999996</v>
      </c>
      <c r="AJ139" s="329">
        <f t="shared" si="368"/>
        <v>-1.4599999999999991</v>
      </c>
      <c r="AK139" s="584">
        <f t="shared" si="368"/>
        <v>3.1000000000000005</v>
      </c>
      <c r="AL139" s="329">
        <f t="shared" ref="AL139:AM139" si="369">AL132+AL137</f>
        <v>0.75</v>
      </c>
      <c r="AM139" s="329">
        <f t="shared" si="369"/>
        <v>2.89</v>
      </c>
      <c r="AN139" s="584">
        <v>3.64</v>
      </c>
      <c r="AO139" s="329">
        <f t="shared" ref="AO139" si="370">AO132+AO137</f>
        <v>4.04</v>
      </c>
      <c r="AP139" s="329">
        <f>AQ139-AO139</f>
        <v>5.0699999999999994</v>
      </c>
      <c r="AQ139" s="584">
        <v>9.11</v>
      </c>
      <c r="AR139" s="329">
        <f t="shared" ref="AR139" si="371">AR132+AR137</f>
        <v>4.08</v>
      </c>
      <c r="AS139" s="329">
        <f t="shared" ref="AS139:AT139" si="372">AS132+AS137</f>
        <v>4.3000000000000007</v>
      </c>
      <c r="AT139" s="584">
        <f t="shared" si="372"/>
        <v>8.3800000000000008</v>
      </c>
      <c r="AU139" s="329">
        <v>0.77</v>
      </c>
      <c r="AV139" s="329">
        <f>AW139-AU139</f>
        <v>-1.08</v>
      </c>
      <c r="AW139" s="584">
        <v>-0.31</v>
      </c>
      <c r="AX139" s="329">
        <v>0.19</v>
      </c>
      <c r="AY139" s="581">
        <f>AZ139-AX139</f>
        <v>-0.67999999999999994</v>
      </c>
      <c r="AZ139" s="584">
        <v>-0.49</v>
      </c>
    </row>
    <row r="140" spans="2:52" outlineLevel="1" x14ac:dyDescent="0.3">
      <c r="T140" s="274"/>
      <c r="U140" s="274"/>
      <c r="V140" s="290"/>
      <c r="W140" s="274"/>
      <c r="X140" s="274"/>
      <c r="Y140" s="290"/>
      <c r="Z140" s="274"/>
      <c r="AA140" s="274"/>
      <c r="AB140" s="290"/>
      <c r="AC140" s="274"/>
      <c r="AD140" s="274"/>
      <c r="AE140" s="290"/>
      <c r="AF140" s="274"/>
      <c r="AG140" s="274"/>
      <c r="AH140" s="290"/>
      <c r="AI140" s="312"/>
      <c r="AJ140" s="11"/>
      <c r="AK140" s="290"/>
      <c r="AL140" s="11"/>
      <c r="AM140" s="11"/>
      <c r="AN140" s="290"/>
      <c r="AO140" s="11"/>
      <c r="AP140" s="11"/>
      <c r="AQ140" s="290"/>
      <c r="AR140" s="11"/>
      <c r="AS140" s="11"/>
      <c r="AT140" s="290"/>
      <c r="AU140" s="11"/>
      <c r="AV140" s="11"/>
      <c r="AW140" s="290"/>
      <c r="AX140" s="11"/>
      <c r="AY140" s="11"/>
      <c r="AZ140" s="290"/>
    </row>
    <row r="141" spans="2:52" s="575" customFormat="1" x14ac:dyDescent="0.3">
      <c r="B141" s="569" t="s">
        <v>135</v>
      </c>
      <c r="C141" s="569"/>
      <c r="D141" s="569"/>
      <c r="E141" s="569"/>
      <c r="F141" s="569"/>
      <c r="G141" s="569"/>
      <c r="H141" s="569"/>
      <c r="I141" s="569"/>
      <c r="J141" s="569"/>
      <c r="K141" s="569"/>
      <c r="L141" s="569"/>
      <c r="M141" s="569"/>
      <c r="N141" s="569"/>
      <c r="O141" s="569"/>
      <c r="P141" s="569"/>
      <c r="Q141" s="569"/>
      <c r="R141" s="569"/>
      <c r="S141" s="569"/>
      <c r="T141" s="335">
        <v>0.87</v>
      </c>
      <c r="U141" s="335">
        <v>1.8899999999999997</v>
      </c>
      <c r="V141" s="576">
        <v>2.76</v>
      </c>
      <c r="W141" s="335">
        <v>0.91</v>
      </c>
      <c r="X141" s="335">
        <f>Y141-W141</f>
        <v>1.9899999999999998</v>
      </c>
      <c r="Y141" s="576">
        <v>2.9</v>
      </c>
      <c r="Z141" s="335">
        <v>0.96</v>
      </c>
      <c r="AA141" s="335">
        <f>AB141-Z141</f>
        <v>2.2600000000000002</v>
      </c>
      <c r="AB141" s="576">
        <v>3.22</v>
      </c>
      <c r="AC141" s="335">
        <v>1.06</v>
      </c>
      <c r="AD141" s="335">
        <f>AE141-AC141</f>
        <v>2.75</v>
      </c>
      <c r="AE141" s="576">
        <v>3.81</v>
      </c>
      <c r="AF141" s="335">
        <v>1.1100000000000001</v>
      </c>
      <c r="AG141" s="335">
        <f>AH141-AF141</f>
        <v>2.8600000000000003</v>
      </c>
      <c r="AH141" s="576">
        <v>3.97</v>
      </c>
      <c r="AI141" s="335">
        <v>0</v>
      </c>
      <c r="AJ141" s="335">
        <f>AK141-AI141</f>
        <v>0</v>
      </c>
      <c r="AK141" s="576">
        <v>0</v>
      </c>
      <c r="AL141" s="335">
        <v>0</v>
      </c>
      <c r="AM141" s="335">
        <f>AN141-AL141</f>
        <v>1.22</v>
      </c>
      <c r="AN141" s="576">
        <v>1.22</v>
      </c>
      <c r="AO141" s="335">
        <v>0.95</v>
      </c>
      <c r="AP141" s="335">
        <f>AQ141-AO141</f>
        <v>1.9000000000000001</v>
      </c>
      <c r="AQ141" s="576">
        <v>2.85</v>
      </c>
      <c r="AR141" s="335">
        <v>0.95</v>
      </c>
      <c r="AS141" s="335">
        <f>AT141-AR141</f>
        <v>2.0499999999999998</v>
      </c>
      <c r="AT141" s="576">
        <v>3</v>
      </c>
      <c r="AU141" s="335">
        <v>0.95</v>
      </c>
      <c r="AV141" s="335">
        <f>[1]Interims!BO103</f>
        <v>2.0499999999999998</v>
      </c>
      <c r="AW141" s="576">
        <v>3</v>
      </c>
      <c r="AX141" s="335">
        <v>0.95</v>
      </c>
      <c r="AY141" s="335">
        <v>0.28999999999999998</v>
      </c>
      <c r="AZ141" s="576">
        <v>1.24</v>
      </c>
    </row>
    <row r="142" spans="2:52" s="425" customFormat="1" ht="11.5" x14ac:dyDescent="0.25">
      <c r="B142" s="426" t="s">
        <v>109</v>
      </c>
      <c r="C142" s="426"/>
      <c r="D142" s="426"/>
      <c r="E142" s="426"/>
      <c r="F142" s="426"/>
      <c r="G142" s="426"/>
      <c r="H142" s="426"/>
      <c r="I142" s="426"/>
      <c r="J142" s="426"/>
      <c r="K142" s="426"/>
      <c r="L142" s="426"/>
      <c r="M142" s="426"/>
      <c r="N142" s="426"/>
      <c r="O142" s="426"/>
      <c r="P142" s="426"/>
      <c r="Q142" s="426"/>
      <c r="R142" s="426"/>
      <c r="S142" s="426"/>
      <c r="T142" s="427">
        <v>4.8192771084337505E-2</v>
      </c>
      <c r="U142" s="427">
        <v>4.9999999999999822E-2</v>
      </c>
      <c r="V142" s="428" t="str">
        <f>IFERROR(V141/#REF!-1,"")</f>
        <v/>
      </c>
      <c r="W142" s="427">
        <f t="shared" ref="W142" si="373">IFERROR(W141/T141-1,"")</f>
        <v>4.5977011494252817E-2</v>
      </c>
      <c r="X142" s="427">
        <f t="shared" ref="X142" si="374">IFERROR(X141/U141-1,"")</f>
        <v>5.2910052910053018E-2</v>
      </c>
      <c r="Y142" s="428">
        <f t="shared" ref="Y142" si="375">IFERROR(Y141/V141-1,"")</f>
        <v>5.0724637681159424E-2</v>
      </c>
      <c r="Z142" s="427">
        <f t="shared" ref="Z142" si="376">IFERROR(Z141/W141-1,"")</f>
        <v>5.4945054945054972E-2</v>
      </c>
      <c r="AA142" s="427">
        <f t="shared" ref="AA142" si="377">IFERROR(AA141/X141-1,"")</f>
        <v>0.13567839195979925</v>
      </c>
      <c r="AB142" s="428">
        <f t="shared" ref="AB142" si="378">IFERROR(AB141/Y141-1,"")</f>
        <v>0.1103448275862069</v>
      </c>
      <c r="AC142" s="427">
        <f t="shared" ref="AC142" si="379">IFERROR(AC141/Z141-1,"")</f>
        <v>0.10416666666666674</v>
      </c>
      <c r="AD142" s="427">
        <f t="shared" ref="AD142" si="380">IFERROR(AD141/AA141-1,"")</f>
        <v>0.21681415929203518</v>
      </c>
      <c r="AE142" s="428">
        <f t="shared" ref="AE142" si="381">IFERROR(AE141/AB141-1,"")</f>
        <v>0.18322981366459623</v>
      </c>
      <c r="AF142" s="427">
        <f t="shared" ref="AF142" si="382">IFERROR(AF141/AC141-1,"")</f>
        <v>4.7169811320754818E-2</v>
      </c>
      <c r="AG142" s="427">
        <f t="shared" ref="AG142" si="383">IFERROR(AG141/AD141-1,"")</f>
        <v>4.0000000000000036E-2</v>
      </c>
      <c r="AH142" s="428">
        <f t="shared" ref="AH142:AK146" si="384">IFERROR(AH141/AE141-1,"")</f>
        <v>4.1994750656167978E-2</v>
      </c>
      <c r="AI142" s="427">
        <f t="shared" si="384"/>
        <v>-1</v>
      </c>
      <c r="AJ142" s="427">
        <f t="shared" si="384"/>
        <v>-1</v>
      </c>
      <c r="AK142" s="428">
        <f t="shared" si="384"/>
        <v>-1</v>
      </c>
      <c r="AL142" s="427" t="str">
        <f t="shared" ref="AL142" si="385">IFERROR(AL141/AI141-1,"")</f>
        <v/>
      </c>
      <c r="AM142" s="427" t="str">
        <f t="shared" ref="AM142" si="386">IFERROR(AM141/AJ141-1,"")</f>
        <v/>
      </c>
      <c r="AN142" s="428" t="str">
        <f t="shared" ref="AN142" si="387">IFERROR(AN141/AK141-1,"")</f>
        <v/>
      </c>
      <c r="AO142" s="427" t="str">
        <f t="shared" ref="AO142" si="388">IFERROR(AO141/AL141-1,"")</f>
        <v/>
      </c>
      <c r="AP142" s="427">
        <f t="shared" ref="AP142" si="389">IFERROR(AP141/AM141-1,"")</f>
        <v>0.55737704918032804</v>
      </c>
      <c r="AQ142" s="428">
        <f t="shared" ref="AQ142:AR142" si="390">IFERROR(AQ141/AN141-1,"")</f>
        <v>1.3360655737704921</v>
      </c>
      <c r="AR142" s="427">
        <f t="shared" si="390"/>
        <v>0</v>
      </c>
      <c r="AS142" s="427">
        <f t="shared" ref="AS142" si="391">IFERROR(AS141/AP141-1,"")</f>
        <v>7.8947368421052433E-2</v>
      </c>
      <c r="AT142" s="428">
        <f t="shared" ref="AT142:AW144" si="392">IFERROR(AT141/AQ141-1,"")</f>
        <v>5.2631578947368363E-2</v>
      </c>
      <c r="AU142" s="427">
        <f t="shared" si="392"/>
        <v>0</v>
      </c>
      <c r="AV142" s="427">
        <f t="shared" si="392"/>
        <v>0</v>
      </c>
      <c r="AW142" s="428">
        <f t="shared" si="392"/>
        <v>0</v>
      </c>
      <c r="AX142" s="427">
        <v>0</v>
      </c>
      <c r="AY142" s="427">
        <f t="shared" ref="AY142" si="393">IFERROR(AY141/AV141-1,"")</f>
        <v>-0.85853658536585364</v>
      </c>
      <c r="AZ142" s="428"/>
    </row>
    <row r="143" spans="2:52" s="575" customFormat="1" x14ac:dyDescent="0.3">
      <c r="B143" s="569" t="s">
        <v>533</v>
      </c>
      <c r="C143" s="569"/>
      <c r="D143" s="569"/>
      <c r="E143" s="569"/>
      <c r="F143" s="569"/>
      <c r="G143" s="569"/>
      <c r="H143" s="569"/>
      <c r="I143" s="569"/>
      <c r="J143" s="569"/>
      <c r="K143" s="569"/>
      <c r="L143" s="569"/>
      <c r="M143" s="569"/>
      <c r="N143" s="569"/>
      <c r="O143" s="569"/>
      <c r="P143" s="569"/>
      <c r="Q143" s="569"/>
      <c r="R143" s="569"/>
      <c r="S143" s="569"/>
      <c r="T143" s="335">
        <v>0</v>
      </c>
      <c r="U143" s="335">
        <v>0</v>
      </c>
      <c r="V143" s="576">
        <v>0</v>
      </c>
      <c r="W143" s="335">
        <v>0</v>
      </c>
      <c r="X143" s="335">
        <f>Y143-W143</f>
        <v>0</v>
      </c>
      <c r="Y143" s="576">
        <v>0</v>
      </c>
      <c r="Z143" s="335">
        <v>0</v>
      </c>
      <c r="AA143" s="335">
        <f>AB143</f>
        <v>4.25</v>
      </c>
      <c r="AB143" s="576">
        <v>4.25</v>
      </c>
      <c r="AC143" s="335">
        <v>0</v>
      </c>
      <c r="AD143" s="335">
        <f>AE143</f>
        <v>5</v>
      </c>
      <c r="AE143" s="576">
        <v>5</v>
      </c>
      <c r="AF143" s="335">
        <v>0</v>
      </c>
      <c r="AG143" s="335">
        <f>AH143</f>
        <v>5.43</v>
      </c>
      <c r="AH143" s="576">
        <v>5.43</v>
      </c>
      <c r="AI143" s="335">
        <v>0</v>
      </c>
      <c r="AJ143" s="335">
        <f>AK143</f>
        <v>0</v>
      </c>
      <c r="AK143" s="576">
        <v>0</v>
      </c>
      <c r="AL143" s="335">
        <v>0</v>
      </c>
      <c r="AM143" s="335">
        <f>AN143</f>
        <v>8.93</v>
      </c>
      <c r="AN143" s="576">
        <v>8.93</v>
      </c>
      <c r="AO143" s="335">
        <v>0</v>
      </c>
      <c r="AP143" s="335">
        <f>AQ143-AO143</f>
        <v>7.34</v>
      </c>
      <c r="AQ143" s="576">
        <v>7.34</v>
      </c>
      <c r="AR143" s="335">
        <v>0</v>
      </c>
      <c r="AS143" s="335">
        <v>2.2400000000000002</v>
      </c>
      <c r="AT143" s="576">
        <v>2.2400000000000002</v>
      </c>
      <c r="AU143" s="335">
        <v>0</v>
      </c>
      <c r="AV143" s="335">
        <f>[1]Interims!BO104</f>
        <v>0</v>
      </c>
      <c r="AW143" s="576">
        <v>0</v>
      </c>
      <c r="AX143" s="335">
        <v>0</v>
      </c>
      <c r="AY143" s="335">
        <v>0</v>
      </c>
      <c r="AZ143" s="576">
        <v>0</v>
      </c>
    </row>
    <row r="144" spans="2:52" s="425" customFormat="1" ht="11.5" x14ac:dyDescent="0.25">
      <c r="B144" s="426" t="s">
        <v>109</v>
      </c>
      <c r="C144" s="426"/>
      <c r="D144" s="426"/>
      <c r="E144" s="426"/>
      <c r="F144" s="426"/>
      <c r="G144" s="426"/>
      <c r="H144" s="426"/>
      <c r="I144" s="426"/>
      <c r="J144" s="426"/>
      <c r="K144" s="426"/>
      <c r="L144" s="426"/>
      <c r="M144" s="426"/>
      <c r="N144" s="426"/>
      <c r="O144" s="426"/>
      <c r="P144" s="426"/>
      <c r="Q144" s="426"/>
      <c r="R144" s="426"/>
      <c r="S144" s="426"/>
      <c r="T144" s="429" t="s">
        <v>3</v>
      </c>
      <c r="U144" s="429" t="s">
        <v>3</v>
      </c>
      <c r="V144" s="440" t="s">
        <v>3</v>
      </c>
      <c r="W144" s="429" t="s">
        <v>3</v>
      </c>
      <c r="X144" s="429" t="s">
        <v>3</v>
      </c>
      <c r="Y144" s="440" t="s">
        <v>3</v>
      </c>
      <c r="Z144" s="429" t="s">
        <v>3</v>
      </c>
      <c r="AA144" s="429" t="s">
        <v>3</v>
      </c>
      <c r="AB144" s="440" t="s">
        <v>3</v>
      </c>
      <c r="AC144" s="429" t="s">
        <v>3</v>
      </c>
      <c r="AD144" s="429">
        <f>IFERROR(AD143/AA143-1,"")</f>
        <v>0.17647058823529416</v>
      </c>
      <c r="AE144" s="440">
        <f t="shared" ref="AE144" si="394">IFERROR(AE143/AB143-1,"")</f>
        <v>0.17647058823529416</v>
      </c>
      <c r="AF144" s="429">
        <v>0</v>
      </c>
      <c r="AG144" s="429">
        <f t="shared" ref="AG144" si="395">IFERROR(AG143/AD143-1,"")</f>
        <v>8.5999999999999854E-2</v>
      </c>
      <c r="AH144" s="440">
        <f t="shared" ref="AH144" si="396">IFERROR(AH143/AE143-1,"")</f>
        <v>8.5999999999999854E-2</v>
      </c>
      <c r="AI144" s="427" t="str">
        <f t="shared" si="384"/>
        <v/>
      </c>
      <c r="AJ144" s="429">
        <f t="shared" ref="AJ144" si="397">IFERROR(AJ143/AG143-1,"")</f>
        <v>-1</v>
      </c>
      <c r="AK144" s="440">
        <f t="shared" si="384"/>
        <v>-1</v>
      </c>
      <c r="AL144" s="427" t="str">
        <f t="shared" ref="AL144" si="398">IFERROR(AL143/AI143-1,"")</f>
        <v/>
      </c>
      <c r="AM144" s="427" t="str">
        <f t="shared" ref="AM144" si="399">IFERROR(AM143/AJ143-1,"")</f>
        <v/>
      </c>
      <c r="AN144" s="440" t="str">
        <f t="shared" ref="AN144" si="400">IFERROR(AN143/AK143-1,"")</f>
        <v/>
      </c>
      <c r="AO144" s="427" t="str">
        <f t="shared" ref="AO144" si="401">IFERROR(AO143/AL143-1,"")</f>
        <v/>
      </c>
      <c r="AP144" s="427">
        <f t="shared" ref="AP144" si="402">IFERROR(AP143/AM143-1,"")</f>
        <v>-0.17805151175811873</v>
      </c>
      <c r="AQ144" s="440">
        <f t="shared" ref="AQ144" si="403">IFERROR(AQ143/AN143-1,"")</f>
        <v>-0.17805151175811873</v>
      </c>
      <c r="AR144" s="427" t="str">
        <f t="shared" ref="AR144" si="404">IFERROR(AR143/AO143-1,"")</f>
        <v/>
      </c>
      <c r="AS144" s="427">
        <f t="shared" ref="AS144" si="405">IFERROR(AS143/AP143-1,"")</f>
        <v>-0.69482288828337868</v>
      </c>
      <c r="AT144" s="440">
        <f t="shared" ref="AT144:AU144" si="406">IFERROR(AT143/AQ143-1,"")</f>
        <v>-0.69482288828337868</v>
      </c>
      <c r="AU144" s="427" t="str">
        <f t="shared" si="392"/>
        <v/>
      </c>
      <c r="AV144" s="427">
        <f t="shared" si="392"/>
        <v>-1</v>
      </c>
      <c r="AW144" s="440">
        <f t="shared" si="392"/>
        <v>-1</v>
      </c>
      <c r="AX144" s="427" t="str">
        <f t="shared" ref="AP144:AZ146" si="407">IFERROR(AX143/AU143-1,"")</f>
        <v/>
      </c>
      <c r="AY144" s="427" t="str">
        <f t="shared" si="407"/>
        <v/>
      </c>
      <c r="AZ144" s="440"/>
    </row>
    <row r="145" spans="2:52" s="574" customFormat="1" x14ac:dyDescent="0.3">
      <c r="B145" s="572" t="s">
        <v>559</v>
      </c>
      <c r="C145" s="572"/>
      <c r="D145" s="572"/>
      <c r="E145" s="572"/>
      <c r="F145" s="572"/>
      <c r="G145" s="572"/>
      <c r="H145" s="572"/>
      <c r="I145" s="572"/>
      <c r="J145" s="572"/>
      <c r="K145" s="572"/>
      <c r="L145" s="572"/>
      <c r="M145" s="572"/>
      <c r="N145" s="572"/>
      <c r="O145" s="572"/>
      <c r="P145" s="572"/>
      <c r="Q145" s="572"/>
      <c r="R145" s="572"/>
      <c r="S145" s="572"/>
      <c r="T145" s="336">
        <v>0.87</v>
      </c>
      <c r="U145" s="336">
        <v>1.8899999999999997</v>
      </c>
      <c r="V145" s="573">
        <f t="shared" ref="V145:AH145" si="408">SUM(V141,V143)</f>
        <v>2.76</v>
      </c>
      <c r="W145" s="336">
        <f t="shared" si="408"/>
        <v>0.91</v>
      </c>
      <c r="X145" s="336">
        <f t="shared" si="408"/>
        <v>1.9899999999999998</v>
      </c>
      <c r="Y145" s="573">
        <f t="shared" si="408"/>
        <v>2.9</v>
      </c>
      <c r="Z145" s="336">
        <f t="shared" si="408"/>
        <v>0.96</v>
      </c>
      <c r="AA145" s="336">
        <f t="shared" si="408"/>
        <v>6.51</v>
      </c>
      <c r="AB145" s="573">
        <f t="shared" si="408"/>
        <v>7.4700000000000006</v>
      </c>
      <c r="AC145" s="336">
        <f t="shared" si="408"/>
        <v>1.06</v>
      </c>
      <c r="AD145" s="336">
        <f t="shared" si="408"/>
        <v>7.75</v>
      </c>
      <c r="AE145" s="573">
        <f t="shared" si="408"/>
        <v>8.81</v>
      </c>
      <c r="AF145" s="336">
        <f t="shared" si="408"/>
        <v>1.1100000000000001</v>
      </c>
      <c r="AG145" s="336">
        <f t="shared" si="408"/>
        <v>8.2899999999999991</v>
      </c>
      <c r="AH145" s="573">
        <f t="shared" si="408"/>
        <v>9.4</v>
      </c>
      <c r="AI145" s="336">
        <f t="shared" ref="AI145:AJ145" si="409">SUM(AI141,AI143)</f>
        <v>0</v>
      </c>
      <c r="AJ145" s="336">
        <f t="shared" si="409"/>
        <v>0</v>
      </c>
      <c r="AK145" s="573">
        <f t="shared" ref="AK145:AU145" si="410">SUM(AK141,AK143)</f>
        <v>0</v>
      </c>
      <c r="AL145" s="336">
        <f t="shared" si="410"/>
        <v>0</v>
      </c>
      <c r="AM145" s="336">
        <f t="shared" si="410"/>
        <v>10.15</v>
      </c>
      <c r="AN145" s="573">
        <f t="shared" si="410"/>
        <v>10.15</v>
      </c>
      <c r="AO145" s="336">
        <f t="shared" si="410"/>
        <v>0.95</v>
      </c>
      <c r="AP145" s="336">
        <f t="shared" si="410"/>
        <v>9.24</v>
      </c>
      <c r="AQ145" s="573">
        <f t="shared" si="410"/>
        <v>10.19</v>
      </c>
      <c r="AR145" s="336">
        <f t="shared" si="410"/>
        <v>0.95</v>
      </c>
      <c r="AS145" s="336">
        <f t="shared" si="410"/>
        <v>4.29</v>
      </c>
      <c r="AT145" s="573">
        <f t="shared" si="410"/>
        <v>5.24</v>
      </c>
      <c r="AU145" s="336">
        <f t="shared" si="410"/>
        <v>0.95</v>
      </c>
      <c r="AV145" s="336">
        <f>[1]Interims!BO105</f>
        <v>2.0499999999999998</v>
      </c>
      <c r="AW145" s="573">
        <f>[1]Interims!BP105</f>
        <v>3</v>
      </c>
      <c r="AX145" s="336">
        <v>0.95</v>
      </c>
      <c r="AY145" s="336">
        <v>0.28999999999999998</v>
      </c>
      <c r="AZ145" s="573">
        <v>1.24</v>
      </c>
    </row>
    <row r="146" spans="2:52" s="425" customFormat="1" ht="12" x14ac:dyDescent="0.3">
      <c r="B146" s="426" t="s">
        <v>109</v>
      </c>
      <c r="C146" s="426"/>
      <c r="D146" s="426"/>
      <c r="E146" s="426"/>
      <c r="F146" s="426"/>
      <c r="G146" s="426"/>
      <c r="H146" s="426"/>
      <c r="I146" s="426"/>
      <c r="J146" s="426"/>
      <c r="K146" s="426"/>
      <c r="L146" s="426"/>
      <c r="M146" s="426"/>
      <c r="N146" s="426"/>
      <c r="O146" s="426"/>
      <c r="P146" s="426"/>
      <c r="Q146" s="426"/>
      <c r="R146" s="426"/>
      <c r="S146" s="426"/>
      <c r="T146" s="429">
        <v>4.8192771084337505E-2</v>
      </c>
      <c r="U146" s="429">
        <v>4.9999999999999822E-2</v>
      </c>
      <c r="V146" s="440" t="str">
        <f>IFERROR(V145/#REF!-1,"")</f>
        <v/>
      </c>
      <c r="W146" s="429">
        <f t="shared" ref="W146" si="411">IFERROR(W145/T145-1,"")</f>
        <v>4.5977011494252817E-2</v>
      </c>
      <c r="X146" s="429">
        <f t="shared" ref="X146" si="412">IFERROR(X145/U145-1,"")</f>
        <v>5.2910052910053018E-2</v>
      </c>
      <c r="Y146" s="440">
        <f t="shared" ref="Y146" si="413">IFERROR(Y145/V145-1,"")</f>
        <v>5.0724637681159424E-2</v>
      </c>
      <c r="Z146" s="429">
        <f t="shared" ref="Z146" si="414">IFERROR(Z145/W145-1,"")</f>
        <v>5.4945054945054972E-2</v>
      </c>
      <c r="AA146" s="429">
        <f t="shared" ref="AA146" si="415">IFERROR(AA145/X145-1,"")</f>
        <v>2.2713567839195981</v>
      </c>
      <c r="AB146" s="440">
        <f t="shared" ref="AB146" si="416">IFERROR(AB145/Y145-1,"")</f>
        <v>1.5758620689655176</v>
      </c>
      <c r="AC146" s="429">
        <f t="shared" ref="AC146" si="417">IFERROR(AC145/Z145-1,"")</f>
        <v>0.10416666666666674</v>
      </c>
      <c r="AD146" s="429">
        <f t="shared" ref="AD146" si="418">IFERROR(AD145/AA145-1,"")</f>
        <v>0.19047619047619047</v>
      </c>
      <c r="AE146" s="440">
        <f t="shared" ref="AE146" si="419">IFERROR(AE145/AB145-1,"")</f>
        <v>0.17938420348058903</v>
      </c>
      <c r="AF146" s="429">
        <f t="shared" ref="AF146" si="420">IFERROR(AF145/AC145-1,"")</f>
        <v>4.7169811320754818E-2</v>
      </c>
      <c r="AG146" s="429">
        <f t="shared" ref="AG146" si="421">IFERROR(AG145/AD145-1,"")</f>
        <v>6.9677419354838621E-2</v>
      </c>
      <c r="AH146" s="440">
        <f t="shared" ref="AH146:AJ146" si="422">IFERROR(AH145/AE145-1,"")</f>
        <v>6.6969353007945598E-2</v>
      </c>
      <c r="AI146" s="429">
        <f t="shared" si="422"/>
        <v>-1</v>
      </c>
      <c r="AJ146" s="429">
        <f t="shared" si="422"/>
        <v>-1</v>
      </c>
      <c r="AK146" s="440">
        <f t="shared" si="384"/>
        <v>-1</v>
      </c>
      <c r="AL146" s="421"/>
      <c r="AM146" s="421"/>
      <c r="AN146" s="440" t="str">
        <f t="shared" ref="AN146" si="423">IFERROR(AN145/AK145-1,"")</f>
        <v/>
      </c>
      <c r="AO146" s="421"/>
      <c r="AP146" s="427">
        <f t="shared" si="407"/>
        <v>-8.9655172413793061E-2</v>
      </c>
      <c r="AQ146" s="440">
        <f t="shared" ref="AQ146" si="424">IFERROR(AQ145/AN145-1,"")</f>
        <v>3.9408866995072067E-3</v>
      </c>
      <c r="AR146" s="421">
        <f t="shared" si="407"/>
        <v>0</v>
      </c>
      <c r="AS146" s="427">
        <f t="shared" si="407"/>
        <v>-0.5357142857142857</v>
      </c>
      <c r="AT146" s="440">
        <f t="shared" si="407"/>
        <v>-0.48577036310107946</v>
      </c>
      <c r="AU146" s="421">
        <f t="shared" si="407"/>
        <v>0</v>
      </c>
      <c r="AV146" s="427">
        <f t="shared" si="407"/>
        <v>-0.52214452214452223</v>
      </c>
      <c r="AW146" s="440">
        <f t="shared" si="407"/>
        <v>-0.4274809160305344</v>
      </c>
      <c r="AX146" s="421">
        <f t="shared" si="407"/>
        <v>0</v>
      </c>
      <c r="AY146" s="427">
        <f t="shared" si="407"/>
        <v>-0.85853658536585364</v>
      </c>
      <c r="AZ146" s="440">
        <f t="shared" si="407"/>
        <v>-0.58666666666666667</v>
      </c>
    </row>
    <row r="147" spans="2:52" s="225" customFormat="1" x14ac:dyDescent="0.3">
      <c r="T147" s="312"/>
      <c r="U147" s="312"/>
      <c r="V147" s="566"/>
      <c r="W147" s="312"/>
      <c r="X147" s="312"/>
      <c r="Y147" s="566"/>
      <c r="Z147" s="312"/>
      <c r="AA147" s="312"/>
      <c r="AB147" s="566"/>
      <c r="AC147" s="312"/>
      <c r="AD147" s="312"/>
      <c r="AE147" s="566"/>
      <c r="AF147" s="312"/>
      <c r="AG147" s="312"/>
      <c r="AH147" s="566"/>
      <c r="AI147" s="312"/>
      <c r="AJ147" s="568"/>
      <c r="AK147" s="566"/>
      <c r="AL147" s="568"/>
      <c r="AM147" s="568"/>
      <c r="AN147" s="566"/>
      <c r="AO147" s="568"/>
      <c r="AP147" s="568"/>
      <c r="AQ147" s="566"/>
      <c r="AR147" s="568"/>
      <c r="AS147" s="568"/>
      <c r="AT147" s="566"/>
      <c r="AU147" s="568"/>
      <c r="AV147" s="568"/>
      <c r="AW147" s="566"/>
      <c r="AX147" s="568"/>
      <c r="AY147" s="568"/>
      <c r="AZ147" s="566"/>
    </row>
    <row r="148" spans="2:52" s="225" customFormat="1" x14ac:dyDescent="0.3">
      <c r="B148" s="569" t="s">
        <v>136</v>
      </c>
      <c r="C148" s="569"/>
      <c r="D148" s="569"/>
      <c r="E148" s="569"/>
      <c r="F148" s="569"/>
      <c r="G148" s="569"/>
      <c r="H148" s="569"/>
      <c r="I148" s="569"/>
      <c r="J148" s="569"/>
      <c r="K148" s="569"/>
      <c r="L148" s="569"/>
      <c r="M148" s="569"/>
      <c r="N148" s="569"/>
      <c r="O148" s="569"/>
      <c r="P148" s="569"/>
      <c r="Q148" s="569"/>
      <c r="R148" s="569"/>
      <c r="S148" s="569"/>
      <c r="T148" s="312"/>
      <c r="U148" s="312"/>
      <c r="V148" s="566"/>
      <c r="W148" s="312"/>
      <c r="X148" s="312"/>
      <c r="Y148" s="566"/>
      <c r="Z148" s="312"/>
      <c r="AA148" s="312"/>
      <c r="AB148" s="566"/>
      <c r="AC148" s="312"/>
      <c r="AD148" s="312"/>
      <c r="AE148" s="566"/>
      <c r="AF148" s="312"/>
      <c r="AG148" s="312"/>
      <c r="AH148" s="566"/>
      <c r="AI148" s="312"/>
      <c r="AJ148" s="568"/>
      <c r="AK148" s="566"/>
      <c r="AL148" s="568"/>
      <c r="AM148" s="568"/>
      <c r="AN148" s="566"/>
      <c r="AO148" s="568"/>
      <c r="AP148" s="568"/>
      <c r="AQ148" s="566"/>
      <c r="AR148" s="568"/>
      <c r="AS148" s="568"/>
      <c r="AT148" s="566"/>
      <c r="AU148" s="568"/>
      <c r="AV148" s="568"/>
      <c r="AW148" s="566"/>
      <c r="AX148" s="568"/>
      <c r="AY148" s="568"/>
      <c r="AZ148" s="566"/>
    </row>
    <row r="149" spans="2:52" s="142" customFormat="1" x14ac:dyDescent="0.3">
      <c r="B149" s="570" t="s">
        <v>532</v>
      </c>
      <c r="C149" s="570"/>
      <c r="D149" s="570"/>
      <c r="E149" s="570"/>
      <c r="F149" s="570"/>
      <c r="G149" s="570"/>
      <c r="H149" s="570"/>
      <c r="I149" s="570"/>
      <c r="J149" s="570"/>
      <c r="K149" s="570"/>
      <c r="L149" s="570"/>
      <c r="M149" s="570"/>
      <c r="N149" s="570"/>
      <c r="O149" s="570"/>
      <c r="P149" s="570"/>
      <c r="Q149" s="570"/>
      <c r="R149" s="570"/>
      <c r="S149" s="570"/>
      <c r="T149" s="314">
        <v>1413.5</v>
      </c>
      <c r="U149" s="314">
        <f>V149</f>
        <v>1416.4</v>
      </c>
      <c r="V149" s="555">
        <v>1416.4</v>
      </c>
      <c r="W149" s="314">
        <v>1424.7</v>
      </c>
      <c r="X149" s="314">
        <f>Y149</f>
        <v>1428.4</v>
      </c>
      <c r="Y149" s="555">
        <v>1428.4</v>
      </c>
      <c r="Z149" s="314">
        <v>1438.8</v>
      </c>
      <c r="AA149" s="314">
        <f>AB149</f>
        <v>1440.7</v>
      </c>
      <c r="AB149" s="555">
        <v>1440.7</v>
      </c>
      <c r="AC149" s="314">
        <v>1446.4</v>
      </c>
      <c r="AD149" s="314">
        <f>AE149</f>
        <v>1448.6</v>
      </c>
      <c r="AE149" s="555">
        <v>1448.6</v>
      </c>
      <c r="AF149" s="314">
        <v>1454.9</v>
      </c>
      <c r="AG149" s="314">
        <f>AH149</f>
        <v>1456.2</v>
      </c>
      <c r="AH149" s="555">
        <v>1456.2</v>
      </c>
      <c r="AI149" s="314">
        <v>1463.8</v>
      </c>
      <c r="AJ149" s="314">
        <f>AK149</f>
        <v>1514.4</v>
      </c>
      <c r="AK149" s="555">
        <v>1514.4</v>
      </c>
      <c r="AL149" s="571">
        <v>1678.1</v>
      </c>
      <c r="AM149" s="314">
        <f>AN149</f>
        <v>1677.3</v>
      </c>
      <c r="AN149" s="555">
        <v>1677.3</v>
      </c>
      <c r="AO149" s="571">
        <v>1677.4</v>
      </c>
      <c r="AP149" s="314">
        <f>AQ149</f>
        <v>1671.7</v>
      </c>
      <c r="AQ149" s="555">
        <v>1671.7</v>
      </c>
      <c r="AR149" s="571">
        <v>1622.3</v>
      </c>
      <c r="AS149" s="314">
        <f>(AT149*2)-AR149</f>
        <v>1597.7</v>
      </c>
      <c r="AT149" s="555">
        <v>1610</v>
      </c>
      <c r="AU149" s="571">
        <v>1588.5</v>
      </c>
      <c r="AV149" s="314">
        <f>[1]Interims!BP95</f>
        <v>1586.6</v>
      </c>
      <c r="AW149" s="555">
        <f>[1]Interims!BQ95</f>
        <v>1586.6</v>
      </c>
      <c r="AX149" s="571">
        <v>1588.5</v>
      </c>
      <c r="AY149" s="314">
        <v>1590.2</v>
      </c>
      <c r="AZ149" s="555">
        <v>1590.2</v>
      </c>
    </row>
    <row r="150" spans="2:52" s="142" customFormat="1" x14ac:dyDescent="0.3">
      <c r="B150" s="570" t="s">
        <v>531</v>
      </c>
      <c r="C150" s="570"/>
      <c r="D150" s="570"/>
      <c r="E150" s="570"/>
      <c r="F150" s="570"/>
      <c r="G150" s="570"/>
      <c r="H150" s="570"/>
      <c r="I150" s="570"/>
      <c r="J150" s="570"/>
      <c r="K150" s="570"/>
      <c r="L150" s="570"/>
      <c r="M150" s="570"/>
      <c r="N150" s="570"/>
      <c r="O150" s="570"/>
      <c r="P150" s="570"/>
      <c r="Q150" s="570"/>
      <c r="R150" s="570"/>
      <c r="S150" s="570"/>
      <c r="T150" s="314">
        <v>1430.5</v>
      </c>
      <c r="U150" s="314">
        <f>V150</f>
        <v>1440.9</v>
      </c>
      <c r="V150" s="555">
        <f>V149+24.5</f>
        <v>1440.9</v>
      </c>
      <c r="W150" s="314">
        <v>1443.5</v>
      </c>
      <c r="X150" s="314">
        <f>Y150</f>
        <v>1447.4</v>
      </c>
      <c r="Y150" s="555">
        <f>Y149+19</f>
        <v>1447.4</v>
      </c>
      <c r="Z150" s="314">
        <v>1454.1</v>
      </c>
      <c r="AA150" s="314">
        <f>AB150</f>
        <v>1458.8</v>
      </c>
      <c r="AB150" s="555">
        <v>1458.8</v>
      </c>
      <c r="AC150" s="314">
        <v>1462.6</v>
      </c>
      <c r="AD150" s="314">
        <f>AE150</f>
        <v>1466.9</v>
      </c>
      <c r="AE150" s="555">
        <v>1466.9</v>
      </c>
      <c r="AF150" s="314">
        <v>1472.7</v>
      </c>
      <c r="AG150" s="314">
        <f>AH150</f>
        <v>1474.5</v>
      </c>
      <c r="AH150" s="555">
        <v>1474.5</v>
      </c>
      <c r="AI150" s="314">
        <v>1479.1</v>
      </c>
      <c r="AJ150" s="314">
        <f>AK150</f>
        <v>1530.1</v>
      </c>
      <c r="AK150" s="555">
        <v>1530.1</v>
      </c>
      <c r="AL150" s="571">
        <v>1690.7</v>
      </c>
      <c r="AM150" s="314">
        <f>AN150</f>
        <v>1692.5</v>
      </c>
      <c r="AN150" s="555">
        <v>1692.5</v>
      </c>
      <c r="AO150" s="571">
        <v>1698.1</v>
      </c>
      <c r="AP150" s="314">
        <f>AQ150</f>
        <v>1694.4</v>
      </c>
      <c r="AQ150" s="555">
        <v>1694.4</v>
      </c>
      <c r="AR150" s="571">
        <v>1632.2</v>
      </c>
      <c r="AS150" s="314">
        <f>(AT150*2)-AR150</f>
        <v>1615.6000000000001</v>
      </c>
      <c r="AT150" s="555">
        <v>1623.9</v>
      </c>
      <c r="AU150" s="571">
        <v>1594.8</v>
      </c>
      <c r="AV150" s="314">
        <f>[1]Interims!BP96</f>
        <v>1600.3</v>
      </c>
      <c r="AW150" s="555">
        <f>[1]Interims!BQ96</f>
        <v>1600.3</v>
      </c>
      <c r="AX150" s="571">
        <v>1595.5</v>
      </c>
      <c r="AY150" s="314">
        <v>1601</v>
      </c>
      <c r="AZ150" s="555">
        <v>1601</v>
      </c>
    </row>
    <row r="151" spans="2:52" s="225" customFormat="1" ht="15" customHeight="1" x14ac:dyDescent="0.3">
      <c r="T151" s="312"/>
      <c r="U151" s="312"/>
      <c r="V151" s="566"/>
      <c r="W151" s="312"/>
      <c r="X151" s="312"/>
      <c r="Y151" s="566"/>
      <c r="Z151" s="312"/>
      <c r="AA151" s="312"/>
      <c r="AB151" s="566"/>
      <c r="AC151" s="312"/>
      <c r="AD151" s="312"/>
      <c r="AE151" s="566"/>
      <c r="AF151" s="312"/>
      <c r="AG151" s="312"/>
      <c r="AH151" s="566"/>
      <c r="AI151" s="312"/>
      <c r="AJ151" s="568"/>
      <c r="AK151" s="566"/>
      <c r="AL151" s="568"/>
      <c r="AM151" s="568"/>
      <c r="AN151" s="566"/>
      <c r="AO151" s="568"/>
      <c r="AP151" s="568"/>
      <c r="AQ151" s="566"/>
      <c r="AR151" s="568"/>
      <c r="AS151" s="568"/>
      <c r="AT151" s="566"/>
      <c r="AU151" s="568"/>
      <c r="AV151" s="568"/>
      <c r="AW151" s="566"/>
      <c r="AX151" s="568"/>
      <c r="AY151" s="568"/>
      <c r="AZ151" s="566"/>
    </row>
    <row r="152" spans="2:52" s="401" customFormat="1" ht="15" customHeight="1" x14ac:dyDescent="0.35">
      <c r="B152" s="400" t="s">
        <v>96</v>
      </c>
      <c r="T152" s="402" t="str">
        <f t="shared" ref="T152:AQ152" si="425">T$5</f>
        <v>H1 15</v>
      </c>
      <c r="U152" s="402" t="str">
        <f t="shared" si="425"/>
        <v>H2 15</v>
      </c>
      <c r="V152" s="403" t="str">
        <f t="shared" si="425"/>
        <v>FY15</v>
      </c>
      <c r="W152" s="402" t="str">
        <f t="shared" si="425"/>
        <v>H1 16</v>
      </c>
      <c r="X152" s="402" t="str">
        <f t="shared" si="425"/>
        <v>H2 16</v>
      </c>
      <c r="Y152" s="403" t="str">
        <f t="shared" si="425"/>
        <v>FY16</v>
      </c>
      <c r="Z152" s="402" t="str">
        <f t="shared" si="425"/>
        <v>H1 17</v>
      </c>
      <c r="AA152" s="402" t="str">
        <f t="shared" si="425"/>
        <v>H2 17</v>
      </c>
      <c r="AB152" s="403" t="str">
        <f t="shared" si="425"/>
        <v>FY17</v>
      </c>
      <c r="AC152" s="402" t="str">
        <f t="shared" si="425"/>
        <v>H1 18</v>
      </c>
      <c r="AD152" s="402" t="str">
        <f t="shared" si="425"/>
        <v>H2 18</v>
      </c>
      <c r="AE152" s="403" t="str">
        <f t="shared" si="425"/>
        <v>FY18</v>
      </c>
      <c r="AF152" s="402" t="str">
        <f t="shared" si="425"/>
        <v>H1 19</v>
      </c>
      <c r="AG152" s="424" t="str">
        <f t="shared" si="425"/>
        <v>H2 19</v>
      </c>
      <c r="AH152" s="403" t="str">
        <f t="shared" si="425"/>
        <v>FY19</v>
      </c>
      <c r="AI152" s="424" t="str">
        <f t="shared" si="425"/>
        <v>H1 20</v>
      </c>
      <c r="AJ152" s="424" t="str">
        <f t="shared" si="425"/>
        <v>H2 20</v>
      </c>
      <c r="AK152" s="403" t="str">
        <f t="shared" si="425"/>
        <v>FY20</v>
      </c>
      <c r="AL152" s="402" t="str">
        <f t="shared" si="425"/>
        <v>H1 21</v>
      </c>
      <c r="AM152" s="424" t="str">
        <f t="shared" si="425"/>
        <v>H2 21</v>
      </c>
      <c r="AN152" s="403" t="str">
        <f t="shared" si="425"/>
        <v>FY21</v>
      </c>
      <c r="AO152" s="402" t="str">
        <f t="shared" si="425"/>
        <v>H1 22</v>
      </c>
      <c r="AP152" s="424" t="str">
        <f t="shared" si="425"/>
        <v>H2 22</v>
      </c>
      <c r="AQ152" s="403" t="str">
        <f t="shared" si="425"/>
        <v>FY22</v>
      </c>
      <c r="AR152" s="402" t="s">
        <v>744</v>
      </c>
      <c r="AS152" s="424" t="s">
        <v>745</v>
      </c>
      <c r="AT152" s="403" t="s">
        <v>731</v>
      </c>
      <c r="AU152" s="402" t="s">
        <v>746</v>
      </c>
      <c r="AV152" s="424" t="s">
        <v>758</v>
      </c>
      <c r="AW152" s="403" t="s">
        <v>747</v>
      </c>
      <c r="AX152" s="402" t="s">
        <v>759</v>
      </c>
      <c r="AY152" s="424" t="s">
        <v>760</v>
      </c>
      <c r="AZ152" s="403" t="s">
        <v>752</v>
      </c>
    </row>
    <row r="153" spans="2:52" s="225" customFormat="1" ht="15" customHeight="1" x14ac:dyDescent="0.3">
      <c r="B153" s="364" t="s">
        <v>59</v>
      </c>
      <c r="C153" s="548"/>
      <c r="D153" s="548"/>
      <c r="E153" s="548"/>
      <c r="F153" s="548"/>
      <c r="G153" s="548"/>
      <c r="H153" s="548"/>
      <c r="I153" s="548"/>
      <c r="J153" s="548"/>
      <c r="K153" s="548"/>
      <c r="L153" s="548"/>
      <c r="M153" s="548"/>
      <c r="N153" s="548"/>
      <c r="O153" s="548"/>
      <c r="P153" s="548"/>
      <c r="Q153" s="548"/>
      <c r="R153" s="548"/>
      <c r="S153" s="548"/>
      <c r="T153" s="321">
        <v>81.5</v>
      </c>
      <c r="U153" s="321">
        <f>V153-T153</f>
        <v>82.6</v>
      </c>
      <c r="V153" s="549">
        <v>164.1</v>
      </c>
      <c r="W153" s="321">
        <v>86.3</v>
      </c>
      <c r="X153" s="321">
        <f>Y153-W153</f>
        <v>94.7</v>
      </c>
      <c r="Y153" s="549">
        <v>181</v>
      </c>
      <c r="Z153" s="321">
        <v>100.1</v>
      </c>
      <c r="AA153" s="321">
        <f>AB153-Z153</f>
        <v>111.4</v>
      </c>
      <c r="AB153" s="549">
        <v>211.5</v>
      </c>
      <c r="AC153" s="321">
        <v>116.5</v>
      </c>
      <c r="AD153" s="321">
        <f>AE153-AC153</f>
        <v>126.9</v>
      </c>
      <c r="AE153" s="549">
        <v>243.4</v>
      </c>
      <c r="AF153" s="321">
        <v>124.1</v>
      </c>
      <c r="AG153" s="321">
        <f>AH153-AF153</f>
        <v>109.60000000000002</v>
      </c>
      <c r="AH153" s="549">
        <f>AH111</f>
        <v>233.70000000000002</v>
      </c>
      <c r="AI153" s="321">
        <v>100.1</v>
      </c>
      <c r="AJ153" s="321">
        <f>AK153-AI153</f>
        <v>-5</v>
      </c>
      <c r="AK153" s="549">
        <f>AK111</f>
        <v>95.1</v>
      </c>
      <c r="AL153" s="321">
        <v>25.1</v>
      </c>
      <c r="AM153" s="321">
        <f>AN153-AL153</f>
        <v>70</v>
      </c>
      <c r="AN153" s="549">
        <f>AN111</f>
        <v>95.1</v>
      </c>
      <c r="AO153" s="321">
        <f>AO111</f>
        <v>101.6</v>
      </c>
      <c r="AP153" s="567">
        <f>AQ153-AO153</f>
        <v>108.5</v>
      </c>
      <c r="AQ153" s="549">
        <v>210.1</v>
      </c>
      <c r="AR153" s="321">
        <f>AR111</f>
        <v>97</v>
      </c>
      <c r="AS153" s="567">
        <v>100</v>
      </c>
      <c r="AT153" s="549">
        <v>197</v>
      </c>
      <c r="AU153" s="321">
        <f>[1]Interims!BN373</f>
        <v>32.200000000000003</v>
      </c>
      <c r="AV153" s="567">
        <f>[1]Interims!BO373</f>
        <v>-7.1000000000000014</v>
      </c>
      <c r="AW153" s="549">
        <v>25.1</v>
      </c>
      <c r="AX153" s="321">
        <v>15.6</v>
      </c>
      <c r="AY153" s="567">
        <f>[1]Interims!BR373</f>
        <v>-0.69999999999999929</v>
      </c>
      <c r="AZ153" s="549">
        <v>14.9</v>
      </c>
    </row>
    <row r="154" spans="2:52" s="225" customFormat="1" ht="15" customHeight="1" x14ac:dyDescent="0.3">
      <c r="B154" s="362" t="s">
        <v>0</v>
      </c>
      <c r="C154" s="542"/>
      <c r="D154" s="542"/>
      <c r="E154" s="542"/>
      <c r="F154" s="542"/>
      <c r="G154" s="542"/>
      <c r="H154" s="542"/>
      <c r="I154" s="542"/>
      <c r="J154" s="542"/>
      <c r="K154" s="542"/>
      <c r="L154" s="542"/>
      <c r="M154" s="542"/>
      <c r="N154" s="542"/>
      <c r="O154" s="542"/>
      <c r="P154" s="542"/>
      <c r="Q154" s="542"/>
      <c r="R154" s="542"/>
      <c r="S154" s="542"/>
      <c r="T154" s="131"/>
      <c r="U154" s="131"/>
      <c r="V154" s="235"/>
      <c r="W154" s="131"/>
      <c r="X154" s="131"/>
      <c r="Y154" s="235"/>
      <c r="Z154" s="131"/>
      <c r="AA154" s="131"/>
      <c r="AB154" s="235"/>
      <c r="AC154" s="131"/>
      <c r="AD154" s="131"/>
      <c r="AE154" s="235"/>
      <c r="AF154" s="131"/>
      <c r="AG154" s="131"/>
      <c r="AH154" s="235"/>
      <c r="AI154" s="131"/>
      <c r="AK154" s="235"/>
      <c r="AL154" s="543"/>
      <c r="AN154" s="235"/>
      <c r="AO154" s="543"/>
      <c r="AQ154" s="235"/>
      <c r="AR154" s="543"/>
      <c r="AT154" s="235"/>
      <c r="AU154" s="543"/>
      <c r="AW154" s="235"/>
      <c r="AX154" s="543"/>
      <c r="AZ154" s="235"/>
    </row>
    <row r="155" spans="2:52" s="225" customFormat="1" ht="15" customHeight="1" x14ac:dyDescent="0.3">
      <c r="B155" s="362" t="s">
        <v>60</v>
      </c>
      <c r="C155" s="542"/>
      <c r="D155" s="542"/>
      <c r="E155" s="542"/>
      <c r="F155" s="542"/>
      <c r="G155" s="542"/>
      <c r="H155" s="542"/>
      <c r="I155" s="542"/>
      <c r="J155" s="542"/>
      <c r="K155" s="542"/>
      <c r="L155" s="542"/>
      <c r="M155" s="542"/>
      <c r="N155" s="542"/>
      <c r="O155" s="542"/>
      <c r="P155" s="542"/>
      <c r="Q155" s="542"/>
      <c r="R155" s="542"/>
      <c r="S155" s="542"/>
      <c r="T155" s="131">
        <v>4.4000000000000004</v>
      </c>
      <c r="U155" s="131">
        <f t="shared" ref="U155:U160" si="426">V155-T155</f>
        <v>4.2999999999999989</v>
      </c>
      <c r="V155" s="235">
        <v>8.6999999999999993</v>
      </c>
      <c r="W155" s="131">
        <v>3.9</v>
      </c>
      <c r="X155" s="131">
        <f t="shared" ref="X155:X160" si="427">Y155-W155</f>
        <v>3.8000000000000003</v>
      </c>
      <c r="Y155" s="235">
        <v>7.7</v>
      </c>
      <c r="Z155" s="131">
        <v>4.5</v>
      </c>
      <c r="AA155" s="131">
        <f t="shared" ref="AA155:AA160" si="428">AB155-Z155</f>
        <v>4.4000000000000004</v>
      </c>
      <c r="AB155" s="235">
        <v>8.9</v>
      </c>
      <c r="AC155" s="131">
        <v>4.8</v>
      </c>
      <c r="AD155" s="131">
        <f t="shared" ref="AD155:AD160" si="429">AE155-AC155</f>
        <v>4.3999999999999995</v>
      </c>
      <c r="AE155" s="235">
        <v>9.1999999999999993</v>
      </c>
      <c r="AF155" s="131">
        <v>5.0999999999999996</v>
      </c>
      <c r="AG155" s="131">
        <f t="shared" ref="AG155:AG161" si="430">IF(AF155="-",AH155,AH155-AF155)</f>
        <v>4.9000000000000004</v>
      </c>
      <c r="AH155" s="235">
        <v>10</v>
      </c>
      <c r="AI155" s="131">
        <v>5.7</v>
      </c>
      <c r="AJ155" s="131">
        <f t="shared" ref="AJ155:AJ161" si="431">IF(AI155="-",AK155,AK155-AI155)</f>
        <v>5.2</v>
      </c>
      <c r="AK155" s="235">
        <v>10.9</v>
      </c>
      <c r="AL155" s="131">
        <v>5.5</v>
      </c>
      <c r="AM155" s="131">
        <f t="shared" ref="AM155:AM160" si="432">IF(AL155="-",AN155,AN155-AL155)</f>
        <v>6.1</v>
      </c>
      <c r="AN155" s="235">
        <v>11.6</v>
      </c>
      <c r="AO155" s="131">
        <v>5</v>
      </c>
      <c r="AP155" s="131">
        <f t="shared" ref="AP155:AP163" si="433">AQ155-AO155</f>
        <v>5</v>
      </c>
      <c r="AQ155" s="235">
        <v>10</v>
      </c>
      <c r="AR155" s="131">
        <v>5.4</v>
      </c>
      <c r="AS155" s="131">
        <v>5.5</v>
      </c>
      <c r="AT155" s="235">
        <f>SUM(AS155+AR155)</f>
        <v>10.9</v>
      </c>
      <c r="AU155" s="131">
        <v>5.5</v>
      </c>
      <c r="AV155" s="131">
        <f>AW155-AU155</f>
        <v>5.6</v>
      </c>
      <c r="AW155" s="235">
        <v>11.1</v>
      </c>
      <c r="AX155" s="131">
        <v>5.7</v>
      </c>
      <c r="AY155" s="131">
        <f>AZ155-AX155</f>
        <v>4.4999999999999991</v>
      </c>
      <c r="AZ155" s="235">
        <v>10.199999999999999</v>
      </c>
    </row>
    <row r="156" spans="2:52" s="225" customFormat="1" ht="15" customHeight="1" x14ac:dyDescent="0.3">
      <c r="B156" s="362" t="s">
        <v>595</v>
      </c>
      <c r="C156" s="542"/>
      <c r="D156" s="542"/>
      <c r="E156" s="542"/>
      <c r="F156" s="542"/>
      <c r="G156" s="542"/>
      <c r="H156" s="542"/>
      <c r="I156" s="542"/>
      <c r="J156" s="542"/>
      <c r="K156" s="542"/>
      <c r="L156" s="542"/>
      <c r="M156" s="542"/>
      <c r="N156" s="542"/>
      <c r="O156" s="542"/>
      <c r="P156" s="542"/>
      <c r="Q156" s="542"/>
      <c r="R156" s="542"/>
      <c r="S156" s="542"/>
      <c r="T156" s="131" t="s">
        <v>3</v>
      </c>
      <c r="U156" s="131" t="s">
        <v>3</v>
      </c>
      <c r="V156" s="235" t="s">
        <v>3</v>
      </c>
      <c r="W156" s="131" t="s">
        <v>3</v>
      </c>
      <c r="X156" s="131" t="s">
        <v>3</v>
      </c>
      <c r="Y156" s="235" t="s">
        <v>3</v>
      </c>
      <c r="Z156" s="131" t="s">
        <v>3</v>
      </c>
      <c r="AA156" s="131" t="s">
        <v>3</v>
      </c>
      <c r="AB156" s="235" t="s">
        <v>3</v>
      </c>
      <c r="AC156" s="131" t="s">
        <v>3</v>
      </c>
      <c r="AD156" s="131" t="s">
        <v>3</v>
      </c>
      <c r="AE156" s="235" t="s">
        <v>3</v>
      </c>
      <c r="AF156" s="131" t="s">
        <v>3</v>
      </c>
      <c r="AG156" s="131" t="str">
        <f t="shared" si="430"/>
        <v>-</v>
      </c>
      <c r="AH156" s="235" t="s">
        <v>3</v>
      </c>
      <c r="AI156" s="131">
        <v>23.3</v>
      </c>
      <c r="AJ156" s="131">
        <f t="shared" si="431"/>
        <v>22.2</v>
      </c>
      <c r="AK156" s="235">
        <v>45.5</v>
      </c>
      <c r="AL156" s="131">
        <v>23.6</v>
      </c>
      <c r="AM156" s="131">
        <f t="shared" si="432"/>
        <v>21.5</v>
      </c>
      <c r="AN156" s="235">
        <v>45.1</v>
      </c>
      <c r="AO156" s="131">
        <v>21.7</v>
      </c>
      <c r="AP156" s="131">
        <f t="shared" si="433"/>
        <v>22.3</v>
      </c>
      <c r="AQ156" s="235">
        <v>44</v>
      </c>
      <c r="AR156" s="131">
        <v>22.8</v>
      </c>
      <c r="AS156" s="131">
        <v>23.2</v>
      </c>
      <c r="AT156" s="235">
        <f t="shared" ref="AT156:AT161" si="434">SUM(AS156+AR156)</f>
        <v>46</v>
      </c>
      <c r="AU156" s="131">
        <v>23.9</v>
      </c>
      <c r="AV156" s="131">
        <f t="shared" ref="AV156:AV162" si="435">AW156-AU156</f>
        <v>22.1</v>
      </c>
      <c r="AW156" s="235">
        <v>46</v>
      </c>
      <c r="AX156" s="131">
        <v>23</v>
      </c>
      <c r="AY156" s="131">
        <f t="shared" ref="AY156:AY162" si="436">AZ156-AX156</f>
        <v>21.700000000000003</v>
      </c>
      <c r="AZ156" s="235">
        <v>44.7</v>
      </c>
    </row>
    <row r="157" spans="2:52" s="225" customFormat="1" ht="15" customHeight="1" x14ac:dyDescent="0.3">
      <c r="B157" s="362" t="s">
        <v>61</v>
      </c>
      <c r="C157" s="542"/>
      <c r="D157" s="542"/>
      <c r="E157" s="542"/>
      <c r="F157" s="542"/>
      <c r="G157" s="542"/>
      <c r="H157" s="542"/>
      <c r="I157" s="542"/>
      <c r="J157" s="542"/>
      <c r="K157" s="542"/>
      <c r="L157" s="542"/>
      <c r="M157" s="542"/>
      <c r="N157" s="542"/>
      <c r="O157" s="542"/>
      <c r="P157" s="542"/>
      <c r="Q157" s="542"/>
      <c r="R157" s="542"/>
      <c r="S157" s="542"/>
      <c r="T157" s="131">
        <v>7</v>
      </c>
      <c r="U157" s="131">
        <f t="shared" si="426"/>
        <v>6.6999999999999993</v>
      </c>
      <c r="V157" s="235">
        <v>13.7</v>
      </c>
      <c r="W157" s="131">
        <v>7.6</v>
      </c>
      <c r="X157" s="131">
        <f t="shared" si="427"/>
        <v>6.6</v>
      </c>
      <c r="Y157" s="235">
        <v>14.2</v>
      </c>
      <c r="Z157" s="131">
        <v>7.8</v>
      </c>
      <c r="AA157" s="131">
        <f t="shared" si="428"/>
        <v>5.0000000000000009</v>
      </c>
      <c r="AB157" s="235">
        <v>12.8</v>
      </c>
      <c r="AC157" s="131">
        <v>3.8</v>
      </c>
      <c r="AD157" s="131">
        <f t="shared" si="429"/>
        <v>2.5</v>
      </c>
      <c r="AE157" s="235">
        <v>6.3</v>
      </c>
      <c r="AF157" s="131">
        <v>3.4</v>
      </c>
      <c r="AG157" s="131">
        <f t="shared" si="430"/>
        <v>1.8000000000000003</v>
      </c>
      <c r="AH157" s="235">
        <v>5.2</v>
      </c>
      <c r="AI157" s="131">
        <v>3.1</v>
      </c>
      <c r="AJ157" s="131">
        <f t="shared" si="431"/>
        <v>3.4</v>
      </c>
      <c r="AK157" s="235">
        <v>6.5</v>
      </c>
      <c r="AL157" s="131">
        <v>5.4</v>
      </c>
      <c r="AM157" s="131">
        <f t="shared" si="432"/>
        <v>5.9</v>
      </c>
      <c r="AN157" s="235">
        <v>11.3</v>
      </c>
      <c r="AO157" s="131">
        <v>5</v>
      </c>
      <c r="AP157" s="131">
        <f t="shared" si="433"/>
        <v>5.0999999999999996</v>
      </c>
      <c r="AQ157" s="235">
        <v>10.1</v>
      </c>
      <c r="AR157" s="131">
        <v>5.5</v>
      </c>
      <c r="AS157" s="131">
        <v>4.5</v>
      </c>
      <c r="AT157" s="235">
        <f t="shared" si="434"/>
        <v>10</v>
      </c>
      <c r="AU157" s="131">
        <v>5.4</v>
      </c>
      <c r="AV157" s="131">
        <f t="shared" si="435"/>
        <v>3.7999999999999989</v>
      </c>
      <c r="AW157" s="235">
        <v>9.1999999999999993</v>
      </c>
      <c r="AX157" s="131">
        <v>4.5999999999999996</v>
      </c>
      <c r="AY157" s="131">
        <f t="shared" si="436"/>
        <v>3.1000000000000005</v>
      </c>
      <c r="AZ157" s="235">
        <v>7.7</v>
      </c>
    </row>
    <row r="158" spans="2:52" s="225" customFormat="1" ht="15" customHeight="1" x14ac:dyDescent="0.3">
      <c r="B158" s="362" t="s">
        <v>722</v>
      </c>
      <c r="C158" s="542"/>
      <c r="D158" s="542"/>
      <c r="E158" s="542"/>
      <c r="F158" s="542"/>
      <c r="G158" s="542"/>
      <c r="H158" s="542"/>
      <c r="I158" s="542"/>
      <c r="J158" s="542"/>
      <c r="K158" s="542"/>
      <c r="L158" s="542"/>
      <c r="M158" s="542"/>
      <c r="N158" s="542"/>
      <c r="O158" s="542"/>
      <c r="P158" s="542"/>
      <c r="Q158" s="542"/>
      <c r="R158" s="542"/>
      <c r="S158" s="542"/>
      <c r="T158" s="131" t="s">
        <v>3</v>
      </c>
      <c r="U158" s="131" t="s">
        <v>3</v>
      </c>
      <c r="V158" s="235" t="s">
        <v>3</v>
      </c>
      <c r="W158" s="131">
        <v>-0.1</v>
      </c>
      <c r="X158" s="131">
        <f t="shared" si="427"/>
        <v>0.1</v>
      </c>
      <c r="Y158" s="235">
        <v>0</v>
      </c>
      <c r="Z158" s="131">
        <v>-0.1</v>
      </c>
      <c r="AA158" s="131">
        <f t="shared" si="428"/>
        <v>-0.4</v>
      </c>
      <c r="AB158" s="235">
        <v>-0.5</v>
      </c>
      <c r="AC158" s="131">
        <v>-0.8</v>
      </c>
      <c r="AD158" s="131">
        <f t="shared" si="429"/>
        <v>0.20000000000000007</v>
      </c>
      <c r="AE158" s="235">
        <v>-0.6</v>
      </c>
      <c r="AF158" s="131" t="s">
        <v>3</v>
      </c>
      <c r="AG158" s="131">
        <f t="shared" si="430"/>
        <v>0.2</v>
      </c>
      <c r="AH158" s="235">
        <v>0.2</v>
      </c>
      <c r="AI158" s="131" t="s">
        <v>3</v>
      </c>
      <c r="AJ158" s="131">
        <f t="shared" si="431"/>
        <v>0.1</v>
      </c>
      <c r="AK158" s="235">
        <v>0.1</v>
      </c>
      <c r="AL158" s="131" t="s">
        <v>3</v>
      </c>
      <c r="AM158" s="131">
        <f t="shared" si="432"/>
        <v>0.4</v>
      </c>
      <c r="AN158" s="235">
        <v>0.4</v>
      </c>
      <c r="AO158" s="131">
        <v>0.5</v>
      </c>
      <c r="AP158" s="131">
        <f t="shared" si="433"/>
        <v>1</v>
      </c>
      <c r="AQ158" s="235">
        <v>1.5</v>
      </c>
      <c r="AR158" s="131">
        <v>0</v>
      </c>
      <c r="AS158" s="131">
        <v>0.1</v>
      </c>
      <c r="AT158" s="235">
        <f t="shared" si="434"/>
        <v>0.1</v>
      </c>
      <c r="AU158" s="131">
        <v>0</v>
      </c>
      <c r="AV158" s="131">
        <f t="shared" si="435"/>
        <v>0</v>
      </c>
      <c r="AW158" s="235">
        <v>0</v>
      </c>
      <c r="AX158" s="131">
        <v>0</v>
      </c>
      <c r="AY158" s="131">
        <f t="shared" si="436"/>
        <v>0.3</v>
      </c>
      <c r="AZ158" s="235">
        <v>0.3</v>
      </c>
    </row>
    <row r="159" spans="2:52" s="225" customFormat="1" ht="15" customHeight="1" x14ac:dyDescent="0.3">
      <c r="B159" s="362" t="s">
        <v>62</v>
      </c>
      <c r="C159" s="542"/>
      <c r="D159" s="542"/>
      <c r="E159" s="542"/>
      <c r="F159" s="542"/>
      <c r="G159" s="542"/>
      <c r="H159" s="542"/>
      <c r="I159" s="542"/>
      <c r="J159" s="542"/>
      <c r="K159" s="542"/>
      <c r="L159" s="542"/>
      <c r="M159" s="542"/>
      <c r="N159" s="542"/>
      <c r="O159" s="542"/>
      <c r="P159" s="542"/>
      <c r="Q159" s="542"/>
      <c r="R159" s="542"/>
      <c r="S159" s="542"/>
      <c r="T159" s="131">
        <v>-0.2</v>
      </c>
      <c r="U159" s="131">
        <f t="shared" si="426"/>
        <v>-0.2</v>
      </c>
      <c r="V159" s="235">
        <v>-0.4</v>
      </c>
      <c r="W159" s="131">
        <v>-0.3</v>
      </c>
      <c r="X159" s="131">
        <f t="shared" si="427"/>
        <v>-0.89999999999999991</v>
      </c>
      <c r="Y159" s="235">
        <v>-1.2</v>
      </c>
      <c r="Z159" s="131">
        <v>-0.3</v>
      </c>
      <c r="AA159" s="131">
        <f t="shared" si="428"/>
        <v>-0.2</v>
      </c>
      <c r="AB159" s="235">
        <v>-0.5</v>
      </c>
      <c r="AC159" s="131">
        <v>-1.2</v>
      </c>
      <c r="AD159" s="131">
        <f t="shared" si="429"/>
        <v>-0.19999999999999996</v>
      </c>
      <c r="AE159" s="235">
        <v>-1.4</v>
      </c>
      <c r="AF159" s="131">
        <v>-0.3</v>
      </c>
      <c r="AG159" s="131">
        <f t="shared" si="430"/>
        <v>1.1000000000000001</v>
      </c>
      <c r="AH159" s="235">
        <v>0.8</v>
      </c>
      <c r="AI159" s="131">
        <v>-0.6</v>
      </c>
      <c r="AJ159" s="131">
        <f t="shared" si="431"/>
        <v>7.5</v>
      </c>
      <c r="AK159" s="235">
        <v>6.9</v>
      </c>
      <c r="AL159" s="131">
        <v>0.9</v>
      </c>
      <c r="AM159" s="131">
        <f t="shared" si="432"/>
        <v>0.29999999999999993</v>
      </c>
      <c r="AN159" s="235">
        <v>1.2</v>
      </c>
      <c r="AO159" s="131">
        <v>3.2</v>
      </c>
      <c r="AP159" s="131">
        <v>-1.1000000000000001</v>
      </c>
      <c r="AQ159" s="235">
        <v>2.1</v>
      </c>
      <c r="AR159" s="131">
        <v>-1.3</v>
      </c>
      <c r="AS159" s="131">
        <v>3.2</v>
      </c>
      <c r="AT159" s="235">
        <f t="shared" si="434"/>
        <v>1.9000000000000001</v>
      </c>
      <c r="AU159" s="131">
        <v>-2.5</v>
      </c>
      <c r="AV159" s="131">
        <f t="shared" si="435"/>
        <v>2.7</v>
      </c>
      <c r="AW159" s="235">
        <v>0.2</v>
      </c>
      <c r="AX159" s="131">
        <v>-0.6</v>
      </c>
      <c r="AY159" s="131">
        <f t="shared" si="436"/>
        <v>2.1</v>
      </c>
      <c r="AZ159" s="235">
        <v>1.5</v>
      </c>
    </row>
    <row r="160" spans="2:52" s="225" customFormat="1" ht="15" customHeight="1" x14ac:dyDescent="0.3">
      <c r="B160" s="362" t="s">
        <v>63</v>
      </c>
      <c r="C160" s="542"/>
      <c r="D160" s="542"/>
      <c r="E160" s="542"/>
      <c r="F160" s="542"/>
      <c r="G160" s="542"/>
      <c r="H160" s="542"/>
      <c r="I160" s="542"/>
      <c r="J160" s="542"/>
      <c r="K160" s="542"/>
      <c r="L160" s="542"/>
      <c r="M160" s="542"/>
      <c r="N160" s="542"/>
      <c r="O160" s="542"/>
      <c r="P160" s="542"/>
      <c r="Q160" s="542"/>
      <c r="R160" s="542"/>
      <c r="S160" s="542"/>
      <c r="T160" s="131">
        <v>6</v>
      </c>
      <c r="U160" s="131">
        <f t="shared" si="426"/>
        <v>4.8000000000000007</v>
      </c>
      <c r="V160" s="235">
        <v>10.8</v>
      </c>
      <c r="W160" s="131">
        <v>6</v>
      </c>
      <c r="X160" s="131">
        <f t="shared" si="427"/>
        <v>5.9</v>
      </c>
      <c r="Y160" s="235">
        <v>11.9</v>
      </c>
      <c r="Z160" s="131">
        <v>6.6</v>
      </c>
      <c r="AA160" s="131">
        <f t="shared" si="428"/>
        <v>6.4</v>
      </c>
      <c r="AB160" s="235">
        <v>13</v>
      </c>
      <c r="AC160" s="131">
        <v>6.9</v>
      </c>
      <c r="AD160" s="131">
        <f t="shared" si="429"/>
        <v>5.5</v>
      </c>
      <c r="AE160" s="235">
        <v>12.4</v>
      </c>
      <c r="AF160" s="131">
        <v>6</v>
      </c>
      <c r="AG160" s="131">
        <f t="shared" si="430"/>
        <v>5.1999999999999993</v>
      </c>
      <c r="AH160" s="235">
        <v>11.2</v>
      </c>
      <c r="AI160" s="131">
        <v>3.6</v>
      </c>
      <c r="AJ160" s="131">
        <f t="shared" si="431"/>
        <v>4.1999999999999993</v>
      </c>
      <c r="AK160" s="235">
        <v>7.8</v>
      </c>
      <c r="AL160" s="131">
        <v>4.0999999999999996</v>
      </c>
      <c r="AM160" s="131">
        <f t="shared" si="432"/>
        <v>4.5999999999999996</v>
      </c>
      <c r="AN160" s="235">
        <v>8.6999999999999993</v>
      </c>
      <c r="AO160" s="131">
        <v>5.5</v>
      </c>
      <c r="AP160" s="131">
        <f t="shared" si="433"/>
        <v>5.4</v>
      </c>
      <c r="AQ160" s="235">
        <v>10.9</v>
      </c>
      <c r="AR160" s="131">
        <v>5.9</v>
      </c>
      <c r="AS160" s="131">
        <v>6.1</v>
      </c>
      <c r="AT160" s="235">
        <f t="shared" si="434"/>
        <v>12</v>
      </c>
      <c r="AU160" s="131">
        <v>4.7</v>
      </c>
      <c r="AV160" s="131">
        <f t="shared" si="435"/>
        <v>3.4999999999999991</v>
      </c>
      <c r="AW160" s="235">
        <v>8.1999999999999993</v>
      </c>
      <c r="AX160" s="131">
        <v>3.4</v>
      </c>
      <c r="AY160" s="131">
        <f t="shared" si="436"/>
        <v>4.3000000000000007</v>
      </c>
      <c r="AZ160" s="235">
        <v>7.7</v>
      </c>
    </row>
    <row r="161" spans="2:52" s="225" customFormat="1" ht="15" customHeight="1" thickBot="1" x14ac:dyDescent="0.35">
      <c r="B161" s="362" t="s">
        <v>740</v>
      </c>
      <c r="C161" s="542"/>
      <c r="D161" s="542"/>
      <c r="E161" s="542"/>
      <c r="F161" s="542"/>
      <c r="G161" s="542"/>
      <c r="H161" s="542"/>
      <c r="I161" s="542"/>
      <c r="J161" s="542"/>
      <c r="K161" s="542"/>
      <c r="L161" s="542"/>
      <c r="M161" s="542"/>
      <c r="N161" s="542"/>
      <c r="O161" s="542"/>
      <c r="P161" s="542"/>
      <c r="Q161" s="542"/>
      <c r="R161" s="542"/>
      <c r="S161" s="542"/>
      <c r="T161" s="131">
        <v>-0.1</v>
      </c>
      <c r="U161" s="131">
        <f>V161-T161</f>
        <v>0</v>
      </c>
      <c r="V161" s="235">
        <v>-0.1</v>
      </c>
      <c r="W161" s="131" t="s">
        <v>3</v>
      </c>
      <c r="X161" s="131" t="s">
        <v>3</v>
      </c>
      <c r="Y161" s="235" t="s">
        <v>3</v>
      </c>
      <c r="Z161" s="131" t="s">
        <v>3</v>
      </c>
      <c r="AA161" s="131" t="s">
        <v>3</v>
      </c>
      <c r="AB161" s="235" t="s">
        <v>3</v>
      </c>
      <c r="AC161" s="131" t="s">
        <v>3</v>
      </c>
      <c r="AD161" s="131" t="s">
        <v>3</v>
      </c>
      <c r="AE161" s="235" t="s">
        <v>3</v>
      </c>
      <c r="AF161" s="131" t="s">
        <v>3</v>
      </c>
      <c r="AG161" s="131">
        <f t="shared" si="430"/>
        <v>15.1</v>
      </c>
      <c r="AH161" s="235">
        <v>15.1</v>
      </c>
      <c r="AI161" s="131" t="s">
        <v>3</v>
      </c>
      <c r="AJ161" s="131">
        <f t="shared" si="431"/>
        <v>39.9</v>
      </c>
      <c r="AK161" s="235">
        <v>39.9</v>
      </c>
      <c r="AL161" s="131" t="s">
        <v>3</v>
      </c>
      <c r="AM161" s="131" t="s">
        <v>3</v>
      </c>
      <c r="AN161" s="235">
        <v>0</v>
      </c>
      <c r="AO161" s="131">
        <v>0</v>
      </c>
      <c r="AP161" s="131">
        <f t="shared" si="433"/>
        <v>4.2</v>
      </c>
      <c r="AQ161" s="235">
        <v>4.2</v>
      </c>
      <c r="AR161" s="131">
        <v>0</v>
      </c>
      <c r="AS161" s="131">
        <v>0</v>
      </c>
      <c r="AT161" s="235">
        <f t="shared" si="434"/>
        <v>0</v>
      </c>
      <c r="AU161" s="131">
        <v>27.9</v>
      </c>
      <c r="AV161" s="131">
        <f t="shared" si="435"/>
        <v>52.1</v>
      </c>
      <c r="AW161" s="235">
        <v>80</v>
      </c>
      <c r="AX161" s="131">
        <v>9.9</v>
      </c>
      <c r="AY161" s="131">
        <f t="shared" si="436"/>
        <v>20.799999999999997</v>
      </c>
      <c r="AZ161" s="235">
        <v>30.7</v>
      </c>
    </row>
    <row r="162" spans="2:52" s="225" customFormat="1" ht="15" customHeight="1" thickBot="1" x14ac:dyDescent="0.35">
      <c r="B162" s="544"/>
      <c r="C162" s="545"/>
      <c r="D162" s="545"/>
      <c r="E162" s="545"/>
      <c r="F162" s="545"/>
      <c r="G162" s="545"/>
      <c r="H162" s="545"/>
      <c r="I162" s="545"/>
      <c r="J162" s="545"/>
      <c r="K162" s="545"/>
      <c r="L162" s="545"/>
      <c r="M162" s="545"/>
      <c r="N162" s="545"/>
      <c r="O162" s="545"/>
      <c r="P162" s="545"/>
      <c r="Q162" s="545"/>
      <c r="R162" s="545"/>
      <c r="S162" s="545"/>
      <c r="T162" s="322">
        <f t="shared" ref="T162:AF162" si="437">SUM(T155:T161)</f>
        <v>17.100000000000001</v>
      </c>
      <c r="U162" s="546">
        <f t="shared" si="437"/>
        <v>15.6</v>
      </c>
      <c r="V162" s="547">
        <f t="shared" si="437"/>
        <v>32.699999999999996</v>
      </c>
      <c r="W162" s="322">
        <f t="shared" si="437"/>
        <v>17.100000000000001</v>
      </c>
      <c r="X162" s="322">
        <f t="shared" si="437"/>
        <v>15.5</v>
      </c>
      <c r="Y162" s="547">
        <f t="shared" si="437"/>
        <v>32.6</v>
      </c>
      <c r="Z162" s="322">
        <f t="shared" si="437"/>
        <v>18.5</v>
      </c>
      <c r="AA162" s="322">
        <f t="shared" si="437"/>
        <v>15.200000000000003</v>
      </c>
      <c r="AB162" s="547">
        <f t="shared" si="437"/>
        <v>33.700000000000003</v>
      </c>
      <c r="AC162" s="322">
        <f t="shared" si="437"/>
        <v>13.5</v>
      </c>
      <c r="AD162" s="322">
        <f t="shared" si="437"/>
        <v>12.399999999999999</v>
      </c>
      <c r="AE162" s="547">
        <f t="shared" si="437"/>
        <v>25.9</v>
      </c>
      <c r="AF162" s="322">
        <f t="shared" si="437"/>
        <v>14.2</v>
      </c>
      <c r="AG162" s="322">
        <f t="shared" ref="AG162:AH162" si="438">SUM(AG155:AG161)</f>
        <v>28.3</v>
      </c>
      <c r="AH162" s="547">
        <f t="shared" si="438"/>
        <v>42.5</v>
      </c>
      <c r="AI162" s="322">
        <f t="shared" ref="AI162:AJ162" si="439">SUM(AI155:AI161)</f>
        <v>35.1</v>
      </c>
      <c r="AJ162" s="322">
        <f t="shared" si="439"/>
        <v>82.5</v>
      </c>
      <c r="AK162" s="547">
        <f t="shared" ref="AK162:AN162" si="440">SUM(AK155:AK161)</f>
        <v>117.6</v>
      </c>
      <c r="AL162" s="322">
        <f t="shared" si="440"/>
        <v>39.5</v>
      </c>
      <c r="AM162" s="322">
        <f t="shared" si="440"/>
        <v>38.799999999999997</v>
      </c>
      <c r="AN162" s="547">
        <f t="shared" si="440"/>
        <v>78.300000000000011</v>
      </c>
      <c r="AO162" s="322">
        <f t="shared" ref="AO162:AX162" si="441">SUM(AO155:AO161)</f>
        <v>40.900000000000006</v>
      </c>
      <c r="AP162" s="322">
        <f t="shared" si="433"/>
        <v>41.899999999999991</v>
      </c>
      <c r="AQ162" s="547">
        <f t="shared" si="441"/>
        <v>82.8</v>
      </c>
      <c r="AR162" s="322">
        <f t="shared" si="441"/>
        <v>38.300000000000004</v>
      </c>
      <c r="AS162" s="322">
        <f t="shared" si="441"/>
        <v>42.600000000000009</v>
      </c>
      <c r="AT162" s="547">
        <f t="shared" si="441"/>
        <v>80.900000000000006</v>
      </c>
      <c r="AU162" s="322">
        <f t="shared" si="441"/>
        <v>64.900000000000006</v>
      </c>
      <c r="AV162" s="322">
        <f t="shared" si="435"/>
        <v>89.799999999999983</v>
      </c>
      <c r="AW162" s="547">
        <f t="shared" si="441"/>
        <v>154.69999999999999</v>
      </c>
      <c r="AX162" s="322">
        <f t="shared" si="441"/>
        <v>45.999999999999993</v>
      </c>
      <c r="AY162" s="322">
        <f t="shared" si="436"/>
        <v>56.800000000000018</v>
      </c>
      <c r="AZ162" s="547">
        <f t="shared" ref="AZ162" si="442">SUM(AZ155:AZ161)</f>
        <v>102.80000000000001</v>
      </c>
    </row>
    <row r="163" spans="2:52" s="225" customFormat="1" ht="15" customHeight="1" x14ac:dyDescent="0.3">
      <c r="B163" s="361" t="s">
        <v>64</v>
      </c>
      <c r="C163" s="548"/>
      <c r="D163" s="548"/>
      <c r="E163" s="548"/>
      <c r="F163" s="548"/>
      <c r="G163" s="548"/>
      <c r="H163" s="548"/>
      <c r="I163" s="548"/>
      <c r="J163" s="548"/>
      <c r="K163" s="548"/>
      <c r="L163" s="548"/>
      <c r="M163" s="548"/>
      <c r="N163" s="548"/>
      <c r="O163" s="548"/>
      <c r="P163" s="548"/>
      <c r="Q163" s="548"/>
      <c r="R163" s="548"/>
      <c r="S163" s="548"/>
      <c r="T163" s="321">
        <v>98.6</v>
      </c>
      <c r="U163" s="331">
        <f>SUM(U153,U162)</f>
        <v>98.199999999999989</v>
      </c>
      <c r="V163" s="549">
        <v>196.8</v>
      </c>
      <c r="W163" s="321">
        <v>103.4</v>
      </c>
      <c r="X163" s="321">
        <f>SUM(X153,X162)</f>
        <v>110.2</v>
      </c>
      <c r="Y163" s="549">
        <v>213.6</v>
      </c>
      <c r="Z163" s="321">
        <v>118.6</v>
      </c>
      <c r="AA163" s="321">
        <f>SUM(AA153,AA162)</f>
        <v>126.60000000000001</v>
      </c>
      <c r="AB163" s="549">
        <v>245.2</v>
      </c>
      <c r="AC163" s="321">
        <v>130</v>
      </c>
      <c r="AD163" s="321">
        <f>SUM(AD153,AD162)</f>
        <v>139.30000000000001</v>
      </c>
      <c r="AE163" s="549">
        <v>269.3</v>
      </c>
      <c r="AF163" s="321">
        <v>138.30000000000001</v>
      </c>
      <c r="AG163" s="321">
        <f>SUM(AG153,AG162)</f>
        <v>137.90000000000003</v>
      </c>
      <c r="AH163" s="549">
        <f>SUM(AH153,AH162)</f>
        <v>276.20000000000005</v>
      </c>
      <c r="AI163" s="321">
        <v>135.19999999999999</v>
      </c>
      <c r="AJ163" s="321">
        <f t="shared" ref="AJ163:AU163" si="443">SUM(AJ153,AJ162)</f>
        <v>77.5</v>
      </c>
      <c r="AK163" s="549">
        <f t="shared" si="443"/>
        <v>212.7</v>
      </c>
      <c r="AL163" s="321">
        <f t="shared" si="443"/>
        <v>64.599999999999994</v>
      </c>
      <c r="AM163" s="321">
        <f t="shared" si="443"/>
        <v>108.8</v>
      </c>
      <c r="AN163" s="549">
        <f t="shared" si="443"/>
        <v>173.4</v>
      </c>
      <c r="AO163" s="321">
        <f t="shared" si="443"/>
        <v>142.5</v>
      </c>
      <c r="AP163" s="321">
        <f t="shared" si="433"/>
        <v>150.39999999999998</v>
      </c>
      <c r="AQ163" s="549">
        <f t="shared" si="443"/>
        <v>292.89999999999998</v>
      </c>
      <c r="AR163" s="321">
        <f t="shared" si="443"/>
        <v>135.30000000000001</v>
      </c>
      <c r="AS163" s="321">
        <f t="shared" si="443"/>
        <v>142.60000000000002</v>
      </c>
      <c r="AT163" s="549">
        <f t="shared" si="443"/>
        <v>277.89999999999998</v>
      </c>
      <c r="AU163" s="321">
        <f t="shared" si="443"/>
        <v>97.100000000000009</v>
      </c>
      <c r="AV163" s="321">
        <f>AV162+AV153</f>
        <v>82.699999999999989</v>
      </c>
      <c r="AW163" s="549">
        <f>AW162+AW153</f>
        <v>179.79999999999998</v>
      </c>
      <c r="AX163" s="321">
        <f>AX162+AX153</f>
        <v>61.599999999999994</v>
      </c>
      <c r="AY163" s="321">
        <f>AY162+AY153</f>
        <v>56.100000000000023</v>
      </c>
      <c r="AZ163" s="549">
        <f>AZ162+AZ153</f>
        <v>117.70000000000002</v>
      </c>
    </row>
    <row r="164" spans="2:52" s="225" customFormat="1" ht="15" customHeight="1" x14ac:dyDescent="0.3">
      <c r="B164" s="362"/>
      <c r="C164" s="542"/>
      <c r="D164" s="542"/>
      <c r="E164" s="542"/>
      <c r="F164" s="542"/>
      <c r="G164" s="542"/>
      <c r="H164" s="542"/>
      <c r="I164" s="542"/>
      <c r="J164" s="542"/>
      <c r="K164" s="542"/>
      <c r="L164" s="542"/>
      <c r="M164" s="542"/>
      <c r="N164" s="542"/>
      <c r="O164" s="542"/>
      <c r="P164" s="542"/>
      <c r="Q164" s="542"/>
      <c r="R164" s="542"/>
      <c r="S164" s="542"/>
      <c r="T164" s="323"/>
      <c r="U164" s="323"/>
      <c r="V164" s="550"/>
      <c r="W164" s="323"/>
      <c r="X164" s="323"/>
      <c r="Y164" s="550"/>
      <c r="Z164" s="323"/>
      <c r="AA164" s="323"/>
      <c r="AB164" s="550"/>
      <c r="AC164" s="323"/>
      <c r="AD164" s="323"/>
      <c r="AE164" s="550"/>
      <c r="AF164" s="323"/>
      <c r="AG164" s="323"/>
      <c r="AH164" s="550"/>
      <c r="AI164" s="323"/>
      <c r="AJ164" s="551"/>
      <c r="AK164" s="550"/>
      <c r="AL164" s="551"/>
      <c r="AM164" s="551"/>
      <c r="AN164" s="550"/>
      <c r="AO164" s="551"/>
      <c r="AP164" s="551"/>
      <c r="AQ164" s="550"/>
      <c r="AR164" s="551"/>
      <c r="AS164" s="551"/>
      <c r="AT164" s="550"/>
      <c r="AU164" s="551"/>
      <c r="AV164" s="551"/>
      <c r="AW164" s="550"/>
      <c r="AX164" s="551"/>
      <c r="AY164" s="551"/>
      <c r="AZ164" s="550"/>
    </row>
    <row r="165" spans="2:52" s="225" customFormat="1" ht="15" customHeight="1" x14ac:dyDescent="0.3">
      <c r="B165" s="362" t="s">
        <v>630</v>
      </c>
      <c r="C165" s="542"/>
      <c r="D165" s="542"/>
      <c r="E165" s="542"/>
      <c r="F165" s="542"/>
      <c r="G165" s="542"/>
      <c r="H165" s="542"/>
      <c r="I165" s="542"/>
      <c r="J165" s="542"/>
      <c r="K165" s="542"/>
      <c r="L165" s="542"/>
      <c r="M165" s="542"/>
      <c r="N165" s="542"/>
      <c r="O165" s="542"/>
      <c r="P165" s="542"/>
      <c r="Q165" s="542"/>
      <c r="R165" s="542"/>
      <c r="S165" s="542"/>
      <c r="T165" s="339"/>
      <c r="U165" s="339"/>
      <c r="V165" s="235">
        <v>-53</v>
      </c>
      <c r="W165" s="339"/>
      <c r="X165" s="339"/>
      <c r="Y165" s="235">
        <v>-98.8</v>
      </c>
      <c r="Z165" s="339"/>
      <c r="AA165" s="339"/>
      <c r="AB165" s="235">
        <v>-111.4</v>
      </c>
      <c r="AC165" s="131">
        <v>-20.7</v>
      </c>
      <c r="AD165" s="131">
        <f t="shared" ref="AD165:AD166" si="444">AE165-AC165</f>
        <v>-87.2</v>
      </c>
      <c r="AE165" s="235">
        <v>-107.9</v>
      </c>
      <c r="AF165" s="131">
        <v>56.9</v>
      </c>
      <c r="AG165" s="131">
        <f t="shared" ref="AG165:AG166" si="445">AH165-AF165</f>
        <v>-66</v>
      </c>
      <c r="AH165" s="235">
        <v>-9.1</v>
      </c>
      <c r="AI165" s="131">
        <v>88.3</v>
      </c>
      <c r="AJ165" s="131">
        <f t="shared" ref="AJ165:AJ166" si="446">AK165-AI165</f>
        <v>69.500000000000014</v>
      </c>
      <c r="AK165" s="235">
        <v>157.80000000000001</v>
      </c>
      <c r="AL165" s="131">
        <v>125.3</v>
      </c>
      <c r="AM165" s="131">
        <f t="shared" ref="AM165:AM166" si="447">AN165-AL165</f>
        <v>-206</v>
      </c>
      <c r="AN165" s="235">
        <v>-80.7</v>
      </c>
      <c r="AO165" s="131">
        <v>-21</v>
      </c>
      <c r="AP165" s="131">
        <f t="shared" ref="AP165:AP166" si="448">AQ165-AO165</f>
        <v>-238.39999999999998</v>
      </c>
      <c r="AQ165" s="235">
        <v>-259.39999999999998</v>
      </c>
      <c r="AR165" s="131">
        <v>49.8</v>
      </c>
      <c r="AS165" s="131">
        <v>-103</v>
      </c>
      <c r="AT165" s="235">
        <f t="shared" ref="AT165:AT166" si="449">SUM(AS165+AR165)</f>
        <v>-53.2</v>
      </c>
      <c r="AU165" s="131">
        <v>136.30000000000001</v>
      </c>
      <c r="AV165" s="131">
        <f>AW165-AU165</f>
        <v>-93.100000000000009</v>
      </c>
      <c r="AW165" s="235">
        <v>43.2</v>
      </c>
      <c r="AX165" s="131">
        <v>49</v>
      </c>
      <c r="AY165" s="131">
        <f>AZ165-AX165</f>
        <v>2.2999999999999972</v>
      </c>
      <c r="AZ165" s="235">
        <v>51.3</v>
      </c>
    </row>
    <row r="166" spans="2:52" s="225" customFormat="1" ht="15" customHeight="1" thickBot="1" x14ac:dyDescent="0.35">
      <c r="B166" s="552" t="s">
        <v>629</v>
      </c>
      <c r="C166" s="542"/>
      <c r="D166" s="542"/>
      <c r="E166" s="542"/>
      <c r="F166" s="542"/>
      <c r="G166" s="542"/>
      <c r="H166" s="542"/>
      <c r="I166" s="542"/>
      <c r="J166" s="542"/>
      <c r="K166" s="542"/>
      <c r="L166" s="542"/>
      <c r="M166" s="542"/>
      <c r="N166" s="542"/>
      <c r="O166" s="542"/>
      <c r="P166" s="542"/>
      <c r="Q166" s="542"/>
      <c r="R166" s="542"/>
      <c r="S166" s="542"/>
      <c r="T166" s="339"/>
      <c r="U166" s="339"/>
      <c r="V166" s="235">
        <v>45.9</v>
      </c>
      <c r="W166" s="339"/>
      <c r="X166" s="339"/>
      <c r="Y166" s="235">
        <v>44.5</v>
      </c>
      <c r="Z166" s="339"/>
      <c r="AA166" s="339"/>
      <c r="AB166" s="235">
        <v>83.2</v>
      </c>
      <c r="AC166" s="131">
        <v>-35.200000000000003</v>
      </c>
      <c r="AD166" s="131">
        <f t="shared" si="444"/>
        <v>117.3</v>
      </c>
      <c r="AE166" s="235">
        <v>82.1</v>
      </c>
      <c r="AF166" s="131">
        <v>-116.7</v>
      </c>
      <c r="AG166" s="131">
        <f t="shared" si="445"/>
        <v>112.60000000000001</v>
      </c>
      <c r="AH166" s="235">
        <v>-4.0999999999999996</v>
      </c>
      <c r="AI166" s="131">
        <v>-134.19999999999999</v>
      </c>
      <c r="AJ166" s="131">
        <f t="shared" si="446"/>
        <v>175.79999999999998</v>
      </c>
      <c r="AK166" s="235">
        <v>41.6</v>
      </c>
      <c r="AL166" s="131">
        <v>-203.2</v>
      </c>
      <c r="AM166" s="131">
        <f t="shared" si="447"/>
        <v>173</v>
      </c>
      <c r="AN166" s="235">
        <v>-30.2</v>
      </c>
      <c r="AO166" s="131">
        <v>-58.3</v>
      </c>
      <c r="AP166" s="131">
        <f t="shared" si="448"/>
        <v>252.7</v>
      </c>
      <c r="AQ166" s="235">
        <v>194.4</v>
      </c>
      <c r="AR166" s="131">
        <v>-94.1</v>
      </c>
      <c r="AS166" s="131">
        <v>118.6</v>
      </c>
      <c r="AT166" s="235">
        <f t="shared" si="449"/>
        <v>24.5</v>
      </c>
      <c r="AU166" s="131">
        <v>-139.9</v>
      </c>
      <c r="AV166" s="131">
        <f>AW166-AU166</f>
        <v>80.2</v>
      </c>
      <c r="AW166" s="235">
        <v>-59.7</v>
      </c>
      <c r="AX166" s="131">
        <v>-18</v>
      </c>
      <c r="AY166" s="131">
        <f>AZ166-AX166</f>
        <v>24.8</v>
      </c>
      <c r="AZ166" s="235">
        <v>6.8</v>
      </c>
    </row>
    <row r="167" spans="2:52" s="225" customFormat="1" ht="15" customHeight="1" thickBot="1" x14ac:dyDescent="0.35">
      <c r="B167" s="544" t="s">
        <v>530</v>
      </c>
      <c r="C167" s="545"/>
      <c r="D167" s="545"/>
      <c r="E167" s="545"/>
      <c r="F167" s="545"/>
      <c r="G167" s="545"/>
      <c r="H167" s="545"/>
      <c r="I167" s="545"/>
      <c r="J167" s="545"/>
      <c r="K167" s="545"/>
      <c r="L167" s="545"/>
      <c r="M167" s="545"/>
      <c r="N167" s="545"/>
      <c r="O167" s="545"/>
      <c r="P167" s="545"/>
      <c r="Q167" s="545"/>
      <c r="R167" s="545"/>
      <c r="S167" s="545"/>
      <c r="T167" s="322">
        <v>-20.100000000000001</v>
      </c>
      <c r="U167" s="322">
        <f>V167-T167</f>
        <v>13.000000000000002</v>
      </c>
      <c r="V167" s="547">
        <v>-7.1</v>
      </c>
      <c r="W167" s="322">
        <v>-69.5</v>
      </c>
      <c r="X167" s="322">
        <f>Y167-W167</f>
        <v>15.200000000000003</v>
      </c>
      <c r="Y167" s="547">
        <v>-54.3</v>
      </c>
      <c r="Z167" s="322">
        <v>-34.799999999999997</v>
      </c>
      <c r="AA167" s="322">
        <f>AB167-Z167</f>
        <v>6.5999999999999943</v>
      </c>
      <c r="AB167" s="547">
        <f>SUM(AB165:AB166)</f>
        <v>-28.200000000000003</v>
      </c>
      <c r="AC167" s="322">
        <v>-55.9</v>
      </c>
      <c r="AD167" s="322">
        <f>SUM(AD165:AD166)</f>
        <v>30.099999999999994</v>
      </c>
      <c r="AE167" s="547">
        <f>SUM(AE165:AE166)</f>
        <v>-25.800000000000011</v>
      </c>
      <c r="AF167" s="322">
        <v>-59.8</v>
      </c>
      <c r="AG167" s="322">
        <f>SUM(AG165:AG166)</f>
        <v>46.600000000000009</v>
      </c>
      <c r="AH167" s="547">
        <f>SUM(AH165:AH166)</f>
        <v>-13.2</v>
      </c>
      <c r="AI167" s="322">
        <v>-45.9</v>
      </c>
      <c r="AJ167" s="322">
        <f>SUM(AJ165:AJ166)</f>
        <v>245.3</v>
      </c>
      <c r="AK167" s="547">
        <f>SUM(AK165:AK166)</f>
        <v>199.4</v>
      </c>
      <c r="AL167" s="322">
        <v>-77.900000000000006</v>
      </c>
      <c r="AM167" s="322">
        <f>SUM(AM165:AM166)</f>
        <v>-33</v>
      </c>
      <c r="AN167" s="547">
        <f>SUM(AN165:AN166)</f>
        <v>-110.9</v>
      </c>
      <c r="AO167" s="322">
        <v>-79.3</v>
      </c>
      <c r="AP167" s="322">
        <f t="shared" ref="AP167:AU167" si="450">SUM(AP165:AP166)</f>
        <v>14.300000000000011</v>
      </c>
      <c r="AQ167" s="547">
        <f t="shared" si="450"/>
        <v>-64.999999999999972</v>
      </c>
      <c r="AR167" s="322">
        <f t="shared" si="450"/>
        <v>-44.3</v>
      </c>
      <c r="AS167" s="322">
        <f t="shared" si="450"/>
        <v>15.599999999999994</v>
      </c>
      <c r="AT167" s="547">
        <f t="shared" si="450"/>
        <v>-28.700000000000003</v>
      </c>
      <c r="AU167" s="322">
        <f t="shared" si="450"/>
        <v>-3.5999999999999943</v>
      </c>
      <c r="AV167" s="322">
        <f t="shared" ref="AV167" si="451">AW167-AU167</f>
        <v>-12.900000000000006</v>
      </c>
      <c r="AW167" s="547">
        <v>-16.5</v>
      </c>
      <c r="AX167" s="322">
        <v>31</v>
      </c>
      <c r="AY167" s="322">
        <f t="shared" ref="AY167" si="452">AZ167-AX167</f>
        <v>27.1</v>
      </c>
      <c r="AZ167" s="547">
        <v>58.1</v>
      </c>
    </row>
    <row r="168" spans="2:52" s="225" customFormat="1" ht="15" customHeight="1" x14ac:dyDescent="0.3">
      <c r="B168" s="361" t="s">
        <v>65</v>
      </c>
      <c r="C168" s="548"/>
      <c r="D168" s="548"/>
      <c r="E168" s="548"/>
      <c r="F168" s="548"/>
      <c r="G168" s="548"/>
      <c r="H168" s="548"/>
      <c r="I168" s="548"/>
      <c r="J168" s="548"/>
      <c r="K168" s="548"/>
      <c r="L168" s="548"/>
      <c r="M168" s="548"/>
      <c r="N168" s="548"/>
      <c r="O168" s="548"/>
      <c r="P168" s="548"/>
      <c r="Q168" s="548"/>
      <c r="R168" s="548"/>
      <c r="S168" s="548"/>
      <c r="T168" s="321">
        <v>78.5</v>
      </c>
      <c r="U168" s="321">
        <f>SUM(U163,U167)</f>
        <v>111.19999999999999</v>
      </c>
      <c r="V168" s="549">
        <v>189.7</v>
      </c>
      <c r="W168" s="321">
        <v>33.9</v>
      </c>
      <c r="X168" s="321">
        <f>SUM(X163,X167)</f>
        <v>125.4</v>
      </c>
      <c r="Y168" s="549">
        <v>159.30000000000001</v>
      </c>
      <c r="Z168" s="321">
        <v>83.8</v>
      </c>
      <c r="AA168" s="321">
        <f>SUM(AA163,AA167)</f>
        <v>133.19999999999999</v>
      </c>
      <c r="AB168" s="549">
        <v>217</v>
      </c>
      <c r="AC168" s="321">
        <v>74.099999999999994</v>
      </c>
      <c r="AD168" s="321">
        <f>SUM(AD153,AD162,AD167)</f>
        <v>169.4</v>
      </c>
      <c r="AE168" s="549">
        <v>243.5</v>
      </c>
      <c r="AF168" s="321">
        <v>78.5</v>
      </c>
      <c r="AG168" s="321">
        <f>SUM(AG153,AG162,AG167)</f>
        <v>184.50000000000006</v>
      </c>
      <c r="AH168" s="549">
        <f t="shared" ref="AH168:AW168" si="453">SUM(AH163,AH167)</f>
        <v>263.00000000000006</v>
      </c>
      <c r="AI168" s="321">
        <f t="shared" si="453"/>
        <v>89.299999999999983</v>
      </c>
      <c r="AJ168" s="321">
        <f t="shared" si="453"/>
        <v>322.8</v>
      </c>
      <c r="AK168" s="549">
        <f t="shared" si="453"/>
        <v>412.1</v>
      </c>
      <c r="AL168" s="321">
        <f t="shared" si="453"/>
        <v>-13.300000000000011</v>
      </c>
      <c r="AM168" s="321">
        <f t="shared" si="453"/>
        <v>75.8</v>
      </c>
      <c r="AN168" s="549">
        <f t="shared" si="453"/>
        <v>62.5</v>
      </c>
      <c r="AO168" s="321">
        <f t="shared" si="453"/>
        <v>63.2</v>
      </c>
      <c r="AP168" s="321">
        <f t="shared" ref="AP168" si="454">SUM(AP163,AP167)</f>
        <v>164.7</v>
      </c>
      <c r="AQ168" s="549">
        <f t="shared" si="453"/>
        <v>227.9</v>
      </c>
      <c r="AR168" s="321">
        <f t="shared" si="453"/>
        <v>91.000000000000014</v>
      </c>
      <c r="AS168" s="321">
        <f t="shared" si="453"/>
        <v>158.20000000000002</v>
      </c>
      <c r="AT168" s="549">
        <f t="shared" si="453"/>
        <v>249.2</v>
      </c>
      <c r="AU168" s="321">
        <f t="shared" si="453"/>
        <v>93.500000000000014</v>
      </c>
      <c r="AV168" s="321">
        <f t="shared" si="453"/>
        <v>69.799999999999983</v>
      </c>
      <c r="AW168" s="549">
        <v>163.30000000000001</v>
      </c>
      <c r="AX168" s="321">
        <v>92.6</v>
      </c>
      <c r="AY168" s="321">
        <f t="shared" ref="AY168" si="455">SUM(AY163,AY167)</f>
        <v>83.200000000000017</v>
      </c>
      <c r="AZ168" s="549">
        <v>175.8</v>
      </c>
    </row>
    <row r="169" spans="2:52" s="225" customFormat="1" ht="15" customHeight="1" x14ac:dyDescent="0.3">
      <c r="B169" s="362" t="s">
        <v>660</v>
      </c>
      <c r="C169" s="542"/>
      <c r="D169" s="542"/>
      <c r="E169" s="542"/>
      <c r="F169" s="542"/>
      <c r="G169" s="542"/>
      <c r="H169" s="542"/>
      <c r="I169" s="542"/>
      <c r="J169" s="542"/>
      <c r="K169" s="542"/>
      <c r="L169" s="542"/>
      <c r="M169" s="542"/>
      <c r="N169" s="542"/>
      <c r="O169" s="542"/>
      <c r="P169" s="542"/>
      <c r="Q169" s="542"/>
      <c r="R169" s="542"/>
      <c r="S169" s="542"/>
      <c r="T169" s="131">
        <v>0</v>
      </c>
      <c r="U169" s="131">
        <v>0</v>
      </c>
      <c r="V169" s="235">
        <v>0</v>
      </c>
      <c r="W169" s="131">
        <v>0</v>
      </c>
      <c r="X169" s="131">
        <v>0</v>
      </c>
      <c r="Y169" s="235">
        <v>0</v>
      </c>
      <c r="Z169" s="131">
        <v>0</v>
      </c>
      <c r="AA169" s="131">
        <v>0</v>
      </c>
      <c r="AB169" s="235">
        <v>0</v>
      </c>
      <c r="AC169" s="131" t="s">
        <v>3</v>
      </c>
      <c r="AD169" s="131" t="str">
        <f>IF(AC169="-",AE169,AE169-AC169)</f>
        <v>-</v>
      </c>
      <c r="AE169" s="235" t="s">
        <v>3</v>
      </c>
      <c r="AF169" s="131" t="s">
        <v>3</v>
      </c>
      <c r="AG169" s="131">
        <f>IF(AF169="-",AH169,AH169-AF169)</f>
        <v>-2.9</v>
      </c>
      <c r="AH169" s="235">
        <v>-2.9</v>
      </c>
      <c r="AI169" s="131" t="s">
        <v>3</v>
      </c>
      <c r="AJ169" s="131">
        <f>IF(AI169="-",AK169,AK169-AI169)</f>
        <v>-12</v>
      </c>
      <c r="AK169" s="235">
        <v>-12</v>
      </c>
      <c r="AL169" s="131">
        <v>-5.7</v>
      </c>
      <c r="AM169" s="131">
        <f>IF(AL169="-",AN169,AN169-AL169)</f>
        <v>-2.2999999999999998</v>
      </c>
      <c r="AN169" s="235">
        <v>-8</v>
      </c>
      <c r="AO169" s="131" t="s">
        <v>3</v>
      </c>
      <c r="AP169" s="131" t="s">
        <v>3</v>
      </c>
      <c r="AQ169" s="235" t="s">
        <v>3</v>
      </c>
      <c r="AR169" s="131"/>
      <c r="AS169" s="131"/>
      <c r="AT169" s="235"/>
      <c r="AU169" s="131">
        <v>-6.8</v>
      </c>
      <c r="AV169" s="131">
        <f>AW169-AU169</f>
        <v>-16.099999999999998</v>
      </c>
      <c r="AW169" s="235">
        <v>-22.9</v>
      </c>
      <c r="AX169" s="131">
        <v>-15.9</v>
      </c>
      <c r="AY169" s="131">
        <f>AZ169-AX169</f>
        <v>-13.999999999999998</v>
      </c>
      <c r="AZ169" s="235">
        <v>-29.9</v>
      </c>
    </row>
    <row r="170" spans="2:52" s="225" customFormat="1" ht="15" customHeight="1" x14ac:dyDescent="0.3">
      <c r="B170" s="362" t="s">
        <v>66</v>
      </c>
      <c r="C170" s="542"/>
      <c r="D170" s="542"/>
      <c r="E170" s="542"/>
      <c r="F170" s="542"/>
      <c r="G170" s="542"/>
      <c r="H170" s="542"/>
      <c r="I170" s="542"/>
      <c r="J170" s="542"/>
      <c r="K170" s="542"/>
      <c r="L170" s="542"/>
      <c r="M170" s="542"/>
      <c r="N170" s="542"/>
      <c r="O170" s="542"/>
      <c r="P170" s="542"/>
      <c r="Q170" s="542"/>
      <c r="R170" s="542"/>
      <c r="S170" s="542"/>
      <c r="T170" s="131">
        <v>-7</v>
      </c>
      <c r="U170" s="131">
        <f>V170-T170</f>
        <v>-7</v>
      </c>
      <c r="V170" s="235">
        <v>-14</v>
      </c>
      <c r="W170" s="131">
        <v>-7.2</v>
      </c>
      <c r="X170" s="131">
        <f>Y170-W170</f>
        <v>-7.2</v>
      </c>
      <c r="Y170" s="235">
        <v>-14.4</v>
      </c>
      <c r="Z170" s="131">
        <v>-7.4</v>
      </c>
      <c r="AA170" s="131">
        <f>AB170-Z170</f>
        <v>-7.4</v>
      </c>
      <c r="AB170" s="235">
        <v>-14.8</v>
      </c>
      <c r="AC170" s="131">
        <v>-7.7</v>
      </c>
      <c r="AD170" s="131">
        <f t="shared" ref="AD170:AD171" si="456">AE170-AC170</f>
        <v>-7.6000000000000005</v>
      </c>
      <c r="AE170" s="235">
        <v>-15.3</v>
      </c>
      <c r="AF170" s="131">
        <v>-7.9</v>
      </c>
      <c r="AG170" s="131">
        <f t="shared" ref="AG170:AG171" si="457">AH170-AF170</f>
        <v>-7.7999999999999989</v>
      </c>
      <c r="AH170" s="235">
        <v>-15.7</v>
      </c>
      <c r="AI170" s="131">
        <v>-8.1</v>
      </c>
      <c r="AJ170" s="131">
        <f>IF(AI170="-",AK170,AK170-AI170)</f>
        <v>-8.0000000000000018</v>
      </c>
      <c r="AK170" s="235">
        <v>-16.100000000000001</v>
      </c>
      <c r="AL170" s="131">
        <v>-8.3000000000000007</v>
      </c>
      <c r="AM170" s="131">
        <f>IF(AL170="-",AN170,AN170-AL170)</f>
        <v>-8.3999999999999986</v>
      </c>
      <c r="AN170" s="235">
        <v>-16.7</v>
      </c>
      <c r="AO170" s="131">
        <v>-8.6</v>
      </c>
      <c r="AP170" s="131">
        <f>AQ170-AO170</f>
        <v>-8.6</v>
      </c>
      <c r="AQ170" s="235">
        <v>-17.2</v>
      </c>
      <c r="AR170" s="131">
        <v>-8.8000000000000007</v>
      </c>
      <c r="AS170" s="131">
        <v>-8.9</v>
      </c>
      <c r="AT170" s="235">
        <f>SUM(AS170+AR170)</f>
        <v>-17.700000000000003</v>
      </c>
      <c r="AU170" s="131">
        <v>-9.1</v>
      </c>
      <c r="AV170" s="131">
        <f>AW170-AU170</f>
        <v>-9.1</v>
      </c>
      <c r="AW170" s="235">
        <v>-18.2</v>
      </c>
      <c r="AX170" s="131">
        <v>-21</v>
      </c>
      <c r="AY170" s="131">
        <f>AZ170-AX170</f>
        <v>-2.1000000000000014</v>
      </c>
      <c r="AZ170" s="235">
        <v>-23.1</v>
      </c>
    </row>
    <row r="171" spans="2:52" s="225" customFormat="1" ht="15" customHeight="1" thickBot="1" x14ac:dyDescent="0.35">
      <c r="B171" s="552" t="s">
        <v>67</v>
      </c>
      <c r="C171" s="553"/>
      <c r="D171" s="553"/>
      <c r="E171" s="553"/>
      <c r="F171" s="553"/>
      <c r="G171" s="553"/>
      <c r="H171" s="553"/>
      <c r="I171" s="553"/>
      <c r="J171" s="553"/>
      <c r="K171" s="553"/>
      <c r="L171" s="553"/>
      <c r="M171" s="553"/>
      <c r="N171" s="553"/>
      <c r="O171" s="553"/>
      <c r="P171" s="553"/>
      <c r="Q171" s="553"/>
      <c r="R171" s="553"/>
      <c r="S171" s="553"/>
      <c r="T171" s="324">
        <v>-19.7</v>
      </c>
      <c r="U171" s="324">
        <f>V171-T171</f>
        <v>-23.900000000000002</v>
      </c>
      <c r="V171" s="554">
        <v>-43.6</v>
      </c>
      <c r="W171" s="324">
        <v>-19.600000000000001</v>
      </c>
      <c r="X171" s="324">
        <f>Y171-W171</f>
        <v>-22.1</v>
      </c>
      <c r="Y171" s="554">
        <v>-41.7</v>
      </c>
      <c r="Z171" s="324">
        <v>-30.2</v>
      </c>
      <c r="AA171" s="324">
        <f>AB171-Z171</f>
        <v>-38</v>
      </c>
      <c r="AB171" s="554">
        <v>-68.2</v>
      </c>
      <c r="AC171" s="324">
        <v>-33.700000000000003</v>
      </c>
      <c r="AD171" s="324">
        <f t="shared" si="456"/>
        <v>-32</v>
      </c>
      <c r="AE171" s="554">
        <v>-65.7</v>
      </c>
      <c r="AF171" s="324">
        <v>-31.8</v>
      </c>
      <c r="AG171" s="324">
        <f t="shared" si="457"/>
        <v>-43.7</v>
      </c>
      <c r="AH171" s="554">
        <v>-75.5</v>
      </c>
      <c r="AI171" s="324">
        <v>-31.9</v>
      </c>
      <c r="AJ171" s="324">
        <f t="shared" ref="AJ171" si="458">AK171-AI171</f>
        <v>2.0999999999999979</v>
      </c>
      <c r="AK171" s="554">
        <v>-29.8</v>
      </c>
      <c r="AL171" s="324">
        <v>-20.2</v>
      </c>
      <c r="AM171" s="324">
        <f t="shared" ref="AM171" si="459">AN171-AL171</f>
        <v>-11.600000000000001</v>
      </c>
      <c r="AN171" s="554">
        <v>-31.8</v>
      </c>
      <c r="AO171" s="324">
        <v>-11.6</v>
      </c>
      <c r="AP171" s="324">
        <f t="shared" ref="AP171" si="460">AQ171-AO171</f>
        <v>-27.4</v>
      </c>
      <c r="AQ171" s="554">
        <v>-39</v>
      </c>
      <c r="AR171" s="324">
        <v>-33.200000000000003</v>
      </c>
      <c r="AS171" s="324">
        <v>-32.6</v>
      </c>
      <c r="AT171" s="554">
        <f>SUM(AS171+AR171)</f>
        <v>-65.800000000000011</v>
      </c>
      <c r="AU171" s="324">
        <v>-28.5</v>
      </c>
      <c r="AV171" s="324">
        <f>AW171-AU171</f>
        <v>2.1000000000000014</v>
      </c>
      <c r="AW171" s="554">
        <v>-26.4</v>
      </c>
      <c r="AX171" s="324">
        <v>-6.6</v>
      </c>
      <c r="AY171" s="324">
        <f>AZ171-AX171</f>
        <v>-6.3000000000000007</v>
      </c>
      <c r="AZ171" s="554">
        <v>-12.9</v>
      </c>
    </row>
    <row r="172" spans="2:52" s="225" customFormat="1" ht="15" customHeight="1" x14ac:dyDescent="0.3">
      <c r="B172" s="361" t="s">
        <v>68</v>
      </c>
      <c r="C172" s="548"/>
      <c r="D172" s="548"/>
      <c r="E172" s="548"/>
      <c r="F172" s="548"/>
      <c r="G172" s="548"/>
      <c r="H172" s="548"/>
      <c r="I172" s="548"/>
      <c r="J172" s="548"/>
      <c r="K172" s="548"/>
      <c r="L172" s="548"/>
      <c r="M172" s="548"/>
      <c r="N172" s="548"/>
      <c r="O172" s="548"/>
      <c r="P172" s="548"/>
      <c r="Q172" s="548"/>
      <c r="R172" s="548"/>
      <c r="S172" s="548"/>
      <c r="T172" s="321">
        <f>SUM(T168:T171)</f>
        <v>51.8</v>
      </c>
      <c r="U172" s="321">
        <f>SUM(U168:U171)</f>
        <v>80.299999999999983</v>
      </c>
      <c r="V172" s="549">
        <v>132.1</v>
      </c>
      <c r="W172" s="321">
        <v>7.1</v>
      </c>
      <c r="X172" s="321">
        <f>SUM(X168:X171)</f>
        <v>96.1</v>
      </c>
      <c r="Y172" s="549">
        <v>103.2</v>
      </c>
      <c r="Z172" s="321">
        <v>46.2</v>
      </c>
      <c r="AA172" s="321">
        <f>SUM(AA168:AA171)</f>
        <v>87.799999999999983</v>
      </c>
      <c r="AB172" s="549">
        <v>134</v>
      </c>
      <c r="AC172" s="321">
        <v>32.700000000000003</v>
      </c>
      <c r="AD172" s="321">
        <f>SUM(AD168:AD171)</f>
        <v>129.80000000000001</v>
      </c>
      <c r="AE172" s="549">
        <v>162.5</v>
      </c>
      <c r="AF172" s="321">
        <v>38.799999999999997</v>
      </c>
      <c r="AG172" s="321">
        <f>SUM(AG168:AG171)</f>
        <v>130.10000000000002</v>
      </c>
      <c r="AH172" s="549">
        <f>SUM(AH168:AH171)</f>
        <v>168.90000000000009</v>
      </c>
      <c r="AI172" s="321">
        <f t="shared" ref="AI172:AU172" si="461">SUM(AI168:AI171)</f>
        <v>49.29999999999999</v>
      </c>
      <c r="AJ172" s="321">
        <f t="shared" si="461"/>
        <v>304.90000000000003</v>
      </c>
      <c r="AK172" s="549">
        <f t="shared" si="461"/>
        <v>354.2</v>
      </c>
      <c r="AL172" s="321">
        <f t="shared" si="461"/>
        <v>-47.500000000000014</v>
      </c>
      <c r="AM172" s="321">
        <f t="shared" ref="AM172" si="462">SUM(AM168:AM171)</f>
        <v>53.499999999999993</v>
      </c>
      <c r="AN172" s="549">
        <f t="shared" si="461"/>
        <v>5.9999999999999964</v>
      </c>
      <c r="AO172" s="321">
        <f t="shared" si="461"/>
        <v>43</v>
      </c>
      <c r="AP172" s="321">
        <f t="shared" si="461"/>
        <v>128.69999999999999</v>
      </c>
      <c r="AQ172" s="549">
        <f t="shared" si="461"/>
        <v>171.70000000000002</v>
      </c>
      <c r="AR172" s="321">
        <f t="shared" si="461"/>
        <v>49.000000000000014</v>
      </c>
      <c r="AS172" s="321">
        <f t="shared" si="461"/>
        <v>116.70000000000002</v>
      </c>
      <c r="AT172" s="549">
        <f t="shared" si="461"/>
        <v>165.7</v>
      </c>
      <c r="AU172" s="321">
        <f t="shared" si="461"/>
        <v>49.100000000000023</v>
      </c>
      <c r="AV172" s="321">
        <f>AW172-AU172</f>
        <v>46.699999999999974</v>
      </c>
      <c r="AW172" s="549">
        <v>95.8</v>
      </c>
      <c r="AX172" s="321">
        <f>SUM(AX168:AX171)</f>
        <v>49.099999999999987</v>
      </c>
      <c r="AY172" s="321">
        <f>AZ172-AX172</f>
        <v>60.800000000000018</v>
      </c>
      <c r="AZ172" s="549">
        <f>SUM(AZ168:AZ171)</f>
        <v>109.9</v>
      </c>
    </row>
    <row r="173" spans="2:52" s="225" customFormat="1" ht="15" customHeight="1" x14ac:dyDescent="0.3">
      <c r="B173" s="632" t="s">
        <v>1</v>
      </c>
      <c r="C173" s="548"/>
      <c r="D173" s="548"/>
      <c r="E173" s="548"/>
      <c r="F173" s="548"/>
      <c r="G173" s="548"/>
      <c r="H173" s="548"/>
      <c r="I173" s="548"/>
      <c r="J173" s="548"/>
      <c r="K173" s="548"/>
      <c r="L173" s="548"/>
      <c r="M173" s="548"/>
      <c r="N173" s="548"/>
      <c r="O173" s="548"/>
      <c r="P173" s="548"/>
      <c r="Q173" s="548"/>
      <c r="R173" s="548"/>
      <c r="S173" s="548"/>
      <c r="T173" s="321"/>
      <c r="U173" s="321"/>
      <c r="V173" s="235"/>
      <c r="W173" s="321"/>
      <c r="X173" s="321"/>
      <c r="Y173" s="235"/>
      <c r="Z173" s="321"/>
      <c r="AA173" s="321"/>
      <c r="AB173" s="235"/>
      <c r="AC173" s="321"/>
      <c r="AD173" s="321"/>
      <c r="AE173" s="235"/>
      <c r="AF173" s="321"/>
      <c r="AG173" s="321"/>
      <c r="AH173" s="235"/>
      <c r="AI173" s="321"/>
      <c r="AJ173" s="321"/>
      <c r="AK173" s="235"/>
      <c r="AL173" s="543"/>
      <c r="AN173" s="235"/>
      <c r="AO173" s="543"/>
      <c r="AQ173" s="235"/>
      <c r="AR173" s="543"/>
      <c r="AT173" s="235"/>
      <c r="AU173" s="543"/>
      <c r="AW173" s="235"/>
      <c r="AX173" s="543"/>
      <c r="AZ173" s="235"/>
    </row>
    <row r="174" spans="2:52" s="225" customFormat="1" ht="15" customHeight="1" x14ac:dyDescent="0.3">
      <c r="B174" s="362" t="s">
        <v>69</v>
      </c>
      <c r="C174" s="542"/>
      <c r="D174" s="542"/>
      <c r="E174" s="542"/>
      <c r="F174" s="542"/>
      <c r="G174" s="542"/>
      <c r="H174" s="542"/>
      <c r="I174" s="542"/>
      <c r="J174" s="542"/>
      <c r="K174" s="542"/>
      <c r="L174" s="542"/>
      <c r="M174" s="542"/>
      <c r="N174" s="542"/>
      <c r="O174" s="542"/>
      <c r="P174" s="542"/>
      <c r="Q174" s="542"/>
      <c r="R174" s="542"/>
      <c r="S174" s="542"/>
      <c r="T174" s="131">
        <v>-4.0999999999999996</v>
      </c>
      <c r="U174" s="131">
        <f t="shared" ref="U174:U179" si="463">V174-T174</f>
        <v>-3.7</v>
      </c>
      <c r="V174" s="235">
        <v>-7.8</v>
      </c>
      <c r="W174" s="131">
        <v>-6.1</v>
      </c>
      <c r="X174" s="131">
        <f t="shared" ref="X174:X179" si="464">Y174-W174</f>
        <v>-4.2000000000000011</v>
      </c>
      <c r="Y174" s="235">
        <v>-10.3</v>
      </c>
      <c r="Z174" s="131">
        <v>-5.6</v>
      </c>
      <c r="AA174" s="131">
        <f t="shared" ref="AA174:AA179" si="465">AB174-Z174</f>
        <v>-7.3000000000000007</v>
      </c>
      <c r="AB174" s="235">
        <v>-12.9</v>
      </c>
      <c r="AC174" s="131">
        <v>-9.5</v>
      </c>
      <c r="AD174" s="131">
        <f t="shared" ref="AD174:AD179" si="466">AE174-AC174</f>
        <v>-5.6</v>
      </c>
      <c r="AE174" s="235">
        <v>-15.1</v>
      </c>
      <c r="AF174" s="131">
        <v>-6.5</v>
      </c>
      <c r="AG174" s="131">
        <f t="shared" ref="AG174:AG179" si="467">AH174-AF174</f>
        <v>-7</v>
      </c>
      <c r="AH174" s="235">
        <v>-13.5</v>
      </c>
      <c r="AI174" s="131">
        <v>-5.8</v>
      </c>
      <c r="AJ174" s="131">
        <f t="shared" ref="AJ174:AJ179" si="468">AK174-AI174</f>
        <v>-3.6000000000000005</v>
      </c>
      <c r="AK174" s="235">
        <v>-9.4</v>
      </c>
      <c r="AL174" s="131">
        <v>-3.3</v>
      </c>
      <c r="AM174" s="131">
        <f t="shared" ref="AM174:AM176" si="469">AN174-AL174</f>
        <v>-5.8999999999999995</v>
      </c>
      <c r="AN174" s="235">
        <v>-9.1999999999999993</v>
      </c>
      <c r="AO174" s="131">
        <v>-5.0999999999999996</v>
      </c>
      <c r="AP174" s="131">
        <f t="shared" ref="AP174" si="470">AQ174-AO174</f>
        <v>-7</v>
      </c>
      <c r="AQ174" s="235">
        <v>-12.1</v>
      </c>
      <c r="AR174" s="131">
        <v>-5.8</v>
      </c>
      <c r="AS174" s="131">
        <v>-6.5</v>
      </c>
      <c r="AT174" s="235">
        <f t="shared" ref="AT174:AT179" si="471">SUM(AS174+AR174)</f>
        <v>-12.3</v>
      </c>
      <c r="AU174" s="131">
        <v>-3.6</v>
      </c>
      <c r="AV174" s="131">
        <f t="shared" ref="AV174:AV197" si="472">AW174-AU174</f>
        <v>-3.9999999999999996</v>
      </c>
      <c r="AW174" s="235">
        <v>-7.6</v>
      </c>
      <c r="AX174" s="131">
        <v>-3</v>
      </c>
      <c r="AY174" s="131">
        <f t="shared" ref="AY174:AY197" si="473">AZ174-AX174</f>
        <v>-4</v>
      </c>
      <c r="AZ174" s="235">
        <v>-7</v>
      </c>
    </row>
    <row r="175" spans="2:52" s="225" customFormat="1" ht="15" customHeight="1" x14ac:dyDescent="0.3">
      <c r="B175" s="362" t="s">
        <v>70</v>
      </c>
      <c r="C175" s="542"/>
      <c r="D175" s="542"/>
      <c r="E175" s="542"/>
      <c r="F175" s="542"/>
      <c r="G175" s="542"/>
      <c r="H175" s="542"/>
      <c r="I175" s="542"/>
      <c r="J175" s="542"/>
      <c r="K175" s="542"/>
      <c r="L175" s="542"/>
      <c r="M175" s="542"/>
      <c r="N175" s="542"/>
      <c r="O175" s="542"/>
      <c r="P175" s="542"/>
      <c r="Q175" s="542"/>
      <c r="R175" s="542"/>
      <c r="S175" s="542"/>
      <c r="T175" s="131">
        <v>0</v>
      </c>
      <c r="U175" s="131">
        <v>0.2</v>
      </c>
      <c r="V175" s="235">
        <v>0.2</v>
      </c>
      <c r="W175" s="131">
        <v>0.1</v>
      </c>
      <c r="X175" s="131">
        <v>0</v>
      </c>
      <c r="Y175" s="235">
        <v>0.1</v>
      </c>
      <c r="Z175" s="131">
        <v>0.1</v>
      </c>
      <c r="AA175" s="131">
        <f t="shared" si="465"/>
        <v>0.5</v>
      </c>
      <c r="AB175" s="235">
        <v>0.6</v>
      </c>
      <c r="AC175" s="131">
        <v>1.4</v>
      </c>
      <c r="AD175" s="131">
        <f t="shared" si="466"/>
        <v>0.10000000000000009</v>
      </c>
      <c r="AE175" s="235">
        <v>1.5</v>
      </c>
      <c r="AF175" s="131" t="s">
        <v>3</v>
      </c>
      <c r="AG175" s="131" t="s">
        <v>3</v>
      </c>
      <c r="AH175" s="235" t="s">
        <v>3</v>
      </c>
      <c r="AI175" s="131">
        <v>0.1</v>
      </c>
      <c r="AJ175" s="131">
        <f t="shared" si="468"/>
        <v>-0.1</v>
      </c>
      <c r="AK175" s="235">
        <v>0</v>
      </c>
      <c r="AL175" s="131" t="s">
        <v>3</v>
      </c>
      <c r="AM175" s="131" t="s">
        <v>3</v>
      </c>
      <c r="AN175" s="235" t="s">
        <v>3</v>
      </c>
      <c r="AO175" s="131" t="s">
        <v>3</v>
      </c>
      <c r="AP175" s="131" t="s">
        <v>3</v>
      </c>
      <c r="AQ175" s="235" t="s">
        <v>3</v>
      </c>
      <c r="AR175" s="131">
        <v>0</v>
      </c>
      <c r="AS175" s="131">
        <v>0</v>
      </c>
      <c r="AT175" s="235">
        <f t="shared" si="471"/>
        <v>0</v>
      </c>
      <c r="AU175" s="131">
        <v>0</v>
      </c>
      <c r="AV175" s="131">
        <f t="shared" si="472"/>
        <v>0</v>
      </c>
      <c r="AW175" s="235">
        <v>0</v>
      </c>
      <c r="AX175" s="131">
        <v>0</v>
      </c>
      <c r="AY175" s="131">
        <f t="shared" si="473"/>
        <v>0</v>
      </c>
      <c r="AZ175" s="235">
        <v>0</v>
      </c>
    </row>
    <row r="176" spans="2:52" s="225" customFormat="1" ht="15" customHeight="1" x14ac:dyDescent="0.3">
      <c r="B176" s="362" t="s">
        <v>71</v>
      </c>
      <c r="C176" s="542"/>
      <c r="D176" s="542"/>
      <c r="E176" s="542"/>
      <c r="F176" s="542"/>
      <c r="G176" s="542"/>
      <c r="H176" s="542"/>
      <c r="I176" s="542"/>
      <c r="J176" s="542"/>
      <c r="K176" s="542"/>
      <c r="L176" s="542"/>
      <c r="M176" s="542"/>
      <c r="N176" s="542"/>
      <c r="O176" s="542"/>
      <c r="P176" s="542"/>
      <c r="Q176" s="542"/>
      <c r="R176" s="542"/>
      <c r="S176" s="542"/>
      <c r="T176" s="131">
        <v>-2.9</v>
      </c>
      <c r="U176" s="131">
        <f t="shared" si="463"/>
        <v>-1.4</v>
      </c>
      <c r="V176" s="235">
        <v>-4.3</v>
      </c>
      <c r="W176" s="131">
        <v>-2</v>
      </c>
      <c r="X176" s="131">
        <f t="shared" si="464"/>
        <v>-2.7</v>
      </c>
      <c r="Y176" s="235">
        <v>-4.7</v>
      </c>
      <c r="Z176" s="131">
        <v>-4.5</v>
      </c>
      <c r="AA176" s="131">
        <f t="shared" si="465"/>
        <v>-4.5999999999999996</v>
      </c>
      <c r="AB176" s="235">
        <v>-9.1</v>
      </c>
      <c r="AC176" s="131">
        <v>-5.6</v>
      </c>
      <c r="AD176" s="131">
        <f t="shared" si="466"/>
        <v>-5.8000000000000007</v>
      </c>
      <c r="AE176" s="235">
        <v>-11.4</v>
      </c>
      <c r="AF176" s="131">
        <v>-8.8000000000000007</v>
      </c>
      <c r="AG176" s="131">
        <f t="shared" si="467"/>
        <v>-10.7</v>
      </c>
      <c r="AH176" s="235">
        <v>-19.5</v>
      </c>
      <c r="AI176" s="131">
        <v>-9.3000000000000007</v>
      </c>
      <c r="AJ176" s="131">
        <f t="shared" si="468"/>
        <v>-7.0999999999999979</v>
      </c>
      <c r="AK176" s="235">
        <v>-16.399999999999999</v>
      </c>
      <c r="AL176" s="131">
        <v>-5.5</v>
      </c>
      <c r="AM176" s="131">
        <f t="shared" si="469"/>
        <v>-4.0999999999999996</v>
      </c>
      <c r="AN176" s="235">
        <v>-9.6</v>
      </c>
      <c r="AO176" s="131">
        <v>-4.8</v>
      </c>
      <c r="AP176" s="131">
        <f t="shared" ref="AP176" si="474">AQ176-AO176</f>
        <v>-7.5000000000000009</v>
      </c>
      <c r="AQ176" s="235">
        <v>-12.3</v>
      </c>
      <c r="AR176" s="131">
        <v>-6.5</v>
      </c>
      <c r="AS176" s="131">
        <v>-10.3</v>
      </c>
      <c r="AT176" s="235">
        <f t="shared" si="471"/>
        <v>-16.8</v>
      </c>
      <c r="AU176" s="131">
        <v>-10.1</v>
      </c>
      <c r="AV176" s="131">
        <f t="shared" si="472"/>
        <v>-5.7000000000000011</v>
      </c>
      <c r="AW176" s="235">
        <v>-15.8</v>
      </c>
      <c r="AX176" s="131">
        <v>-6.9</v>
      </c>
      <c r="AY176" s="131">
        <f t="shared" si="473"/>
        <v>-8.7999999999999989</v>
      </c>
      <c r="AZ176" s="235">
        <v>-15.7</v>
      </c>
    </row>
    <row r="177" spans="2:52" s="225" customFormat="1" ht="15" customHeight="1" x14ac:dyDescent="0.3">
      <c r="B177" s="362" t="s">
        <v>82</v>
      </c>
      <c r="C177" s="542"/>
      <c r="D177" s="542"/>
      <c r="E177" s="542"/>
      <c r="F177" s="542"/>
      <c r="G177" s="542"/>
      <c r="H177" s="542"/>
      <c r="I177" s="542"/>
      <c r="J177" s="542"/>
      <c r="K177" s="542"/>
      <c r="L177" s="542"/>
      <c r="M177" s="542"/>
      <c r="N177" s="542"/>
      <c r="O177" s="542"/>
      <c r="P177" s="542"/>
      <c r="Q177" s="542"/>
      <c r="R177" s="542"/>
      <c r="S177" s="542"/>
      <c r="T177" s="332">
        <v>-29.3</v>
      </c>
      <c r="U177" s="332">
        <f t="shared" si="463"/>
        <v>-6.4000000000000021</v>
      </c>
      <c r="V177" s="555">
        <v>-35.700000000000003</v>
      </c>
      <c r="W177" s="131" t="s">
        <v>3</v>
      </c>
      <c r="X177" s="332" t="s">
        <v>3</v>
      </c>
      <c r="Y177" s="555" t="s">
        <v>3</v>
      </c>
      <c r="Z177" s="131" t="s">
        <v>3</v>
      </c>
      <c r="AA177" s="332" t="s">
        <v>3</v>
      </c>
      <c r="AB177" s="555" t="s">
        <v>3</v>
      </c>
      <c r="AC177" s="131" t="s">
        <v>3</v>
      </c>
      <c r="AD177" s="332" t="s">
        <v>3</v>
      </c>
      <c r="AE177" s="555" t="s">
        <v>3</v>
      </c>
      <c r="AF177" s="131" t="s">
        <v>3</v>
      </c>
      <c r="AG177" s="332" t="s">
        <v>3</v>
      </c>
      <c r="AH177" s="555" t="s">
        <v>3</v>
      </c>
      <c r="AI177" s="131" t="s">
        <v>3</v>
      </c>
      <c r="AJ177" s="332" t="s">
        <v>3</v>
      </c>
      <c r="AK177" s="555" t="s">
        <v>3</v>
      </c>
      <c r="AL177" s="131" t="s">
        <v>3</v>
      </c>
      <c r="AM177" s="131" t="s">
        <v>3</v>
      </c>
      <c r="AN177" s="555" t="s">
        <v>3</v>
      </c>
      <c r="AO177" s="131" t="s">
        <v>3</v>
      </c>
      <c r="AP177" s="131" t="s">
        <v>3</v>
      </c>
      <c r="AQ177" s="555" t="s">
        <v>3</v>
      </c>
      <c r="AR177" s="131">
        <v>0</v>
      </c>
      <c r="AS177" s="131">
        <v>-1</v>
      </c>
      <c r="AT177" s="555">
        <f t="shared" si="471"/>
        <v>-1</v>
      </c>
      <c r="AU177" s="131">
        <v>0</v>
      </c>
      <c r="AV177" s="131">
        <f t="shared" si="472"/>
        <v>0</v>
      </c>
      <c r="AW177" s="555">
        <v>0</v>
      </c>
      <c r="AX177" s="131">
        <v>0</v>
      </c>
      <c r="AY177" s="131">
        <f t="shared" si="473"/>
        <v>0</v>
      </c>
      <c r="AZ177" s="555">
        <v>0</v>
      </c>
    </row>
    <row r="178" spans="2:52" s="225" customFormat="1" ht="15" customHeight="1" x14ac:dyDescent="0.3">
      <c r="B178" s="362" t="s">
        <v>83</v>
      </c>
      <c r="C178" s="542"/>
      <c r="D178" s="542"/>
      <c r="E178" s="542"/>
      <c r="F178" s="542"/>
      <c r="G178" s="542"/>
      <c r="H178" s="542"/>
      <c r="I178" s="542"/>
      <c r="J178" s="542"/>
      <c r="K178" s="542"/>
      <c r="L178" s="542"/>
      <c r="M178" s="542"/>
      <c r="N178" s="542"/>
      <c r="O178" s="542"/>
      <c r="P178" s="542"/>
      <c r="Q178" s="542"/>
      <c r="R178" s="542"/>
      <c r="S178" s="542"/>
      <c r="T178" s="332">
        <v>-1.7</v>
      </c>
      <c r="U178" s="332">
        <f t="shared" si="463"/>
        <v>9.9999999999999867E-2</v>
      </c>
      <c r="V178" s="555">
        <v>-1.6</v>
      </c>
      <c r="W178" s="131" t="s">
        <v>3</v>
      </c>
      <c r="X178" s="332" t="s">
        <v>3</v>
      </c>
      <c r="Y178" s="555" t="s">
        <v>3</v>
      </c>
      <c r="Z178" s="131" t="s">
        <v>3</v>
      </c>
      <c r="AA178" s="332" t="s">
        <v>3</v>
      </c>
      <c r="AB178" s="555" t="s">
        <v>3</v>
      </c>
      <c r="AC178" s="131">
        <v>0</v>
      </c>
      <c r="AD178" s="332">
        <v>-13.7</v>
      </c>
      <c r="AE178" s="555">
        <v>-13.7</v>
      </c>
      <c r="AF178" s="131" t="s">
        <v>3</v>
      </c>
      <c r="AG178" s="332" t="s">
        <v>3</v>
      </c>
      <c r="AH178" s="555" t="s">
        <v>3</v>
      </c>
      <c r="AI178" s="131" t="s">
        <v>3</v>
      </c>
      <c r="AJ178" s="332" t="s">
        <v>3</v>
      </c>
      <c r="AK178" s="555" t="s">
        <v>3</v>
      </c>
      <c r="AL178" s="131" t="s">
        <v>3</v>
      </c>
      <c r="AM178" s="131" t="s">
        <v>3</v>
      </c>
      <c r="AN178" s="555" t="s">
        <v>3</v>
      </c>
      <c r="AO178" s="131" t="s">
        <v>3</v>
      </c>
      <c r="AP178" s="131" t="s">
        <v>3</v>
      </c>
      <c r="AQ178" s="555" t="s">
        <v>3</v>
      </c>
      <c r="AR178" s="131">
        <v>0</v>
      </c>
      <c r="AS178" s="131">
        <v>0</v>
      </c>
      <c r="AT178" s="555">
        <f t="shared" si="471"/>
        <v>0</v>
      </c>
      <c r="AU178" s="131">
        <v>0</v>
      </c>
      <c r="AV178" s="131">
        <f t="shared" si="472"/>
        <v>0</v>
      </c>
      <c r="AW178" s="555">
        <v>0</v>
      </c>
      <c r="AX178" s="131">
        <v>0</v>
      </c>
      <c r="AY178" s="131">
        <f t="shared" si="473"/>
        <v>0</v>
      </c>
      <c r="AZ178" s="555">
        <v>0</v>
      </c>
    </row>
    <row r="179" spans="2:52" s="225" customFormat="1" ht="15" customHeight="1" thickBot="1" x14ac:dyDescent="0.35">
      <c r="B179" s="552" t="s">
        <v>72</v>
      </c>
      <c r="C179" s="553"/>
      <c r="D179" s="553"/>
      <c r="E179" s="553"/>
      <c r="F179" s="553"/>
      <c r="G179" s="553"/>
      <c r="H179" s="553"/>
      <c r="I179" s="553"/>
      <c r="J179" s="553"/>
      <c r="K179" s="553"/>
      <c r="L179" s="553"/>
      <c r="M179" s="553"/>
      <c r="N179" s="553"/>
      <c r="O179" s="553"/>
      <c r="P179" s="553"/>
      <c r="Q179" s="553"/>
      <c r="R179" s="553"/>
      <c r="S179" s="553"/>
      <c r="T179" s="324">
        <v>0.3</v>
      </c>
      <c r="U179" s="324">
        <f t="shared" si="463"/>
        <v>0.2</v>
      </c>
      <c r="V179" s="554">
        <v>0.5</v>
      </c>
      <c r="W179" s="324">
        <v>0.2</v>
      </c>
      <c r="X179" s="324">
        <f t="shared" si="464"/>
        <v>0.3</v>
      </c>
      <c r="Y179" s="554">
        <v>0.5</v>
      </c>
      <c r="Z179" s="324">
        <v>0.3</v>
      </c>
      <c r="AA179" s="324">
        <f t="shared" si="465"/>
        <v>0.3</v>
      </c>
      <c r="AB179" s="554">
        <v>0.6</v>
      </c>
      <c r="AC179" s="324">
        <v>0.3</v>
      </c>
      <c r="AD179" s="324">
        <f t="shared" si="466"/>
        <v>0.3</v>
      </c>
      <c r="AE179" s="554">
        <v>0.6</v>
      </c>
      <c r="AF179" s="324">
        <v>0.4</v>
      </c>
      <c r="AG179" s="324">
        <f t="shared" si="467"/>
        <v>0.29999999999999993</v>
      </c>
      <c r="AH179" s="554">
        <v>0.7</v>
      </c>
      <c r="AI179" s="324">
        <v>0.3</v>
      </c>
      <c r="AJ179" s="324">
        <f t="shared" si="468"/>
        <v>0.3</v>
      </c>
      <c r="AK179" s="554">
        <v>0.6</v>
      </c>
      <c r="AL179" s="324">
        <v>0.3</v>
      </c>
      <c r="AM179" s="324">
        <f t="shared" ref="AM179" si="475">AN179-AL179</f>
        <v>0.10000000000000003</v>
      </c>
      <c r="AN179" s="554">
        <v>0.4</v>
      </c>
      <c r="AO179" s="324">
        <v>0.2</v>
      </c>
      <c r="AP179" s="324">
        <f t="shared" ref="AP179" si="476">AQ179-AO179</f>
        <v>0.60000000000000009</v>
      </c>
      <c r="AQ179" s="554">
        <v>0.8</v>
      </c>
      <c r="AR179" s="324">
        <v>0.7</v>
      </c>
      <c r="AS179" s="324">
        <v>1.3</v>
      </c>
      <c r="AT179" s="554">
        <f t="shared" si="471"/>
        <v>2</v>
      </c>
      <c r="AU179" s="324">
        <v>1.7</v>
      </c>
      <c r="AV179" s="324">
        <f t="shared" si="472"/>
        <v>1.5000000000000002</v>
      </c>
      <c r="AW179" s="554">
        <v>3.2</v>
      </c>
      <c r="AX179" s="324">
        <v>1.2</v>
      </c>
      <c r="AY179" s="324">
        <f t="shared" si="473"/>
        <v>1.0000000000000002</v>
      </c>
      <c r="AZ179" s="554">
        <v>2.2000000000000002</v>
      </c>
    </row>
    <row r="180" spans="2:52" s="225" customFormat="1" ht="15" customHeight="1" x14ac:dyDescent="0.3">
      <c r="B180" s="361" t="s">
        <v>73</v>
      </c>
      <c r="C180" s="548"/>
      <c r="D180" s="548"/>
      <c r="E180" s="548"/>
      <c r="F180" s="548"/>
      <c r="G180" s="548"/>
      <c r="H180" s="548"/>
      <c r="I180" s="548"/>
      <c r="J180" s="548"/>
      <c r="K180" s="548"/>
      <c r="L180" s="548"/>
      <c r="M180" s="548"/>
      <c r="N180" s="548"/>
      <c r="O180" s="548"/>
      <c r="P180" s="548"/>
      <c r="Q180" s="548"/>
      <c r="R180" s="548"/>
      <c r="S180" s="548"/>
      <c r="T180" s="321">
        <f t="shared" ref="T180:AB180" si="477">SUM(T174:T179)</f>
        <v>-37.700000000000003</v>
      </c>
      <c r="U180" s="321">
        <f t="shared" si="477"/>
        <v>-11.000000000000004</v>
      </c>
      <c r="V180" s="549">
        <f t="shared" si="477"/>
        <v>-48.7</v>
      </c>
      <c r="W180" s="321">
        <f t="shared" si="477"/>
        <v>-7.8</v>
      </c>
      <c r="X180" s="321">
        <f t="shared" si="477"/>
        <v>-6.6000000000000014</v>
      </c>
      <c r="Y180" s="549">
        <f t="shared" si="477"/>
        <v>-14.400000000000002</v>
      </c>
      <c r="Z180" s="321">
        <f t="shared" si="477"/>
        <v>-9.6999999999999993</v>
      </c>
      <c r="AA180" s="321">
        <f t="shared" si="477"/>
        <v>-11.1</v>
      </c>
      <c r="AB180" s="549">
        <f t="shared" si="477"/>
        <v>-20.799999999999997</v>
      </c>
      <c r="AC180" s="321">
        <v>-13.4</v>
      </c>
      <c r="AD180" s="321">
        <f>SUM(AD174:AD179)</f>
        <v>-24.7</v>
      </c>
      <c r="AE180" s="549">
        <v>-38.1</v>
      </c>
      <c r="AF180" s="321">
        <v>-15</v>
      </c>
      <c r="AG180" s="321">
        <f t="shared" ref="AG180:AW180" si="478">SUM(AG174:AG179)</f>
        <v>-17.399999999999999</v>
      </c>
      <c r="AH180" s="549">
        <f t="shared" si="478"/>
        <v>-32.299999999999997</v>
      </c>
      <c r="AI180" s="321">
        <f t="shared" si="478"/>
        <v>-14.7</v>
      </c>
      <c r="AJ180" s="321">
        <f t="shared" si="478"/>
        <v>-10.499999999999998</v>
      </c>
      <c r="AK180" s="549">
        <f t="shared" si="478"/>
        <v>-25.199999999999996</v>
      </c>
      <c r="AL180" s="321">
        <f t="shared" si="478"/>
        <v>-8.5</v>
      </c>
      <c r="AM180" s="321">
        <f t="shared" si="478"/>
        <v>-9.9</v>
      </c>
      <c r="AN180" s="549">
        <f t="shared" si="478"/>
        <v>-18.399999999999999</v>
      </c>
      <c r="AO180" s="321">
        <f t="shared" si="478"/>
        <v>-9.6999999999999993</v>
      </c>
      <c r="AP180" s="321">
        <f t="shared" si="478"/>
        <v>-13.9</v>
      </c>
      <c r="AQ180" s="549">
        <f t="shared" si="478"/>
        <v>-23.599999999999998</v>
      </c>
      <c r="AR180" s="321">
        <f t="shared" si="478"/>
        <v>-11.600000000000001</v>
      </c>
      <c r="AS180" s="321">
        <f t="shared" si="478"/>
        <v>-16.5</v>
      </c>
      <c r="AT180" s="549">
        <f t="shared" si="478"/>
        <v>-28.1</v>
      </c>
      <c r="AU180" s="321">
        <f t="shared" si="478"/>
        <v>-12</v>
      </c>
      <c r="AV180" s="321">
        <f t="shared" si="472"/>
        <v>-8.1999999999999993</v>
      </c>
      <c r="AW180" s="549">
        <f t="shared" si="478"/>
        <v>-20.2</v>
      </c>
      <c r="AX180" s="321">
        <v>-8.6999999999999993</v>
      </c>
      <c r="AY180" s="321">
        <f t="shared" si="473"/>
        <v>-11.8</v>
      </c>
      <c r="AZ180" s="549">
        <v>-20.5</v>
      </c>
    </row>
    <row r="181" spans="2:52" s="225" customFormat="1" ht="15" customHeight="1" x14ac:dyDescent="0.3">
      <c r="B181" s="632" t="s">
        <v>2</v>
      </c>
      <c r="C181" s="548"/>
      <c r="D181" s="548"/>
      <c r="E181" s="548"/>
      <c r="F181" s="548"/>
      <c r="G181" s="548"/>
      <c r="H181" s="548"/>
      <c r="I181" s="548"/>
      <c r="J181" s="548"/>
      <c r="K181" s="548"/>
      <c r="L181" s="548"/>
      <c r="M181" s="548"/>
      <c r="N181" s="548"/>
      <c r="O181" s="548"/>
      <c r="P181" s="548"/>
      <c r="Q181" s="548"/>
      <c r="R181" s="548"/>
      <c r="S181" s="548"/>
      <c r="T181" s="321"/>
      <c r="U181" s="321"/>
      <c r="V181" s="235"/>
      <c r="W181" s="321"/>
      <c r="X181" s="321"/>
      <c r="Y181" s="235"/>
      <c r="Z181" s="321"/>
      <c r="AA181" s="321"/>
      <c r="AB181" s="235"/>
      <c r="AC181" s="321"/>
      <c r="AD181" s="321"/>
      <c r="AE181" s="235"/>
      <c r="AF181" s="321"/>
      <c r="AG181" s="321"/>
      <c r="AH181" s="235"/>
      <c r="AI181" s="321"/>
      <c r="AJ181" s="321"/>
      <c r="AK181" s="235"/>
      <c r="AL181" s="543"/>
      <c r="AM181" s="543"/>
      <c r="AN181" s="235"/>
      <c r="AO181" s="543"/>
      <c r="AP181" s="543"/>
      <c r="AQ181" s="235"/>
      <c r="AR181" s="543"/>
      <c r="AS181" s="543"/>
      <c r="AT181" s="235"/>
      <c r="AU181" s="543"/>
      <c r="AV181" s="543"/>
      <c r="AW181" s="235"/>
      <c r="AY181" s="543"/>
      <c r="AZ181" s="235"/>
    </row>
    <row r="182" spans="2:52" s="225" customFormat="1" ht="15" customHeight="1" x14ac:dyDescent="0.3">
      <c r="B182" s="362" t="s">
        <v>74</v>
      </c>
      <c r="C182" s="542"/>
      <c r="D182" s="542"/>
      <c r="E182" s="542"/>
      <c r="F182" s="542"/>
      <c r="G182" s="542"/>
      <c r="H182" s="542"/>
      <c r="I182" s="542"/>
      <c r="J182" s="542"/>
      <c r="K182" s="542"/>
      <c r="L182" s="542"/>
      <c r="M182" s="542"/>
      <c r="N182" s="542"/>
      <c r="O182" s="542"/>
      <c r="P182" s="542"/>
      <c r="Q182" s="542"/>
      <c r="R182" s="542"/>
      <c r="S182" s="542"/>
      <c r="T182" s="131">
        <v>-2.8</v>
      </c>
      <c r="U182" s="131">
        <f t="shared" ref="U182:U184" si="479">V182-T182</f>
        <v>-2.9000000000000004</v>
      </c>
      <c r="V182" s="235">
        <v>-5.7</v>
      </c>
      <c r="W182" s="131">
        <v>-1.7</v>
      </c>
      <c r="X182" s="131">
        <f t="shared" ref="X182:X184" si="480">Y182-W182</f>
        <v>-2.3999999999999995</v>
      </c>
      <c r="Y182" s="235">
        <v>-4.0999999999999996</v>
      </c>
      <c r="Z182" s="131">
        <v>-1.6</v>
      </c>
      <c r="AA182" s="131">
        <f t="shared" ref="AA182:AA184" si="481">AB182-Z182</f>
        <v>-0.89999999999999991</v>
      </c>
      <c r="AB182" s="235">
        <v>-2.5</v>
      </c>
      <c r="AC182" s="131">
        <v>-1.2</v>
      </c>
      <c r="AD182" s="131">
        <f t="shared" ref="AD182:AD187" si="482">AE182-AC182</f>
        <v>-1.4000000000000001</v>
      </c>
      <c r="AE182" s="235">
        <v>-2.6</v>
      </c>
      <c r="AF182" s="131">
        <v>-2.4</v>
      </c>
      <c r="AG182" s="131">
        <f t="shared" ref="AG182:AG187" si="483">AH182-AF182</f>
        <v>-1</v>
      </c>
      <c r="AH182" s="235">
        <v>-3.4</v>
      </c>
      <c r="AI182" s="131">
        <v>-1</v>
      </c>
      <c r="AJ182" s="131">
        <f t="shared" ref="AJ182:AJ187" si="484">AK182-AI182</f>
        <v>-1</v>
      </c>
      <c r="AK182" s="235">
        <v>-2</v>
      </c>
      <c r="AL182" s="131">
        <v>-0.8</v>
      </c>
      <c r="AM182" s="131">
        <f t="shared" ref="AM182:AM183" si="485">AN182-AL182</f>
        <v>-0.5</v>
      </c>
      <c r="AN182" s="235">
        <v>-1.3</v>
      </c>
      <c r="AO182" s="131">
        <v>-0.6</v>
      </c>
      <c r="AP182" s="131">
        <f t="shared" ref="AP182:AP183" si="486">AQ182-AO182</f>
        <v>-0.70000000000000007</v>
      </c>
      <c r="AQ182" s="235">
        <f>-1.2-0.1</f>
        <v>-1.3</v>
      </c>
      <c r="AR182" s="131">
        <v>-2.1</v>
      </c>
      <c r="AS182" s="131">
        <v>-1.6</v>
      </c>
      <c r="AT182" s="235">
        <f t="shared" ref="AT182:AT192" si="487">SUM(AS182+AR182)</f>
        <v>-3.7</v>
      </c>
      <c r="AU182" s="131">
        <v>-3</v>
      </c>
      <c r="AV182" s="131">
        <f t="shared" si="472"/>
        <v>-4.2</v>
      </c>
      <c r="AW182" s="235">
        <v>-7.2</v>
      </c>
      <c r="AX182" s="543">
        <v>-4.5999999999999996</v>
      </c>
      <c r="AY182" s="131">
        <f t="shared" si="473"/>
        <v>-4.9000000000000004</v>
      </c>
      <c r="AZ182" s="235">
        <v>-9.5</v>
      </c>
    </row>
    <row r="183" spans="2:52" s="225" customFormat="1" ht="15" customHeight="1" x14ac:dyDescent="0.3">
      <c r="B183" s="362" t="s">
        <v>596</v>
      </c>
      <c r="C183" s="542"/>
      <c r="D183" s="542"/>
      <c r="E183" s="542"/>
      <c r="F183" s="542"/>
      <c r="G183" s="542"/>
      <c r="H183" s="542"/>
      <c r="I183" s="542"/>
      <c r="J183" s="542"/>
      <c r="K183" s="542"/>
      <c r="L183" s="542"/>
      <c r="M183" s="542"/>
      <c r="N183" s="542"/>
      <c r="O183" s="542"/>
      <c r="P183" s="542"/>
      <c r="Q183" s="542"/>
      <c r="R183" s="542"/>
      <c r="S183" s="542"/>
      <c r="T183" s="131" t="s">
        <v>3</v>
      </c>
      <c r="U183" s="131" t="s">
        <v>3</v>
      </c>
      <c r="V183" s="235" t="s">
        <v>3</v>
      </c>
      <c r="W183" s="131" t="s">
        <v>3</v>
      </c>
      <c r="X183" s="131" t="s">
        <v>3</v>
      </c>
      <c r="Y183" s="235" t="s">
        <v>3</v>
      </c>
      <c r="Z183" s="131" t="s">
        <v>3</v>
      </c>
      <c r="AA183" s="131" t="s">
        <v>3</v>
      </c>
      <c r="AB183" s="235" t="s">
        <v>3</v>
      </c>
      <c r="AC183" s="131" t="s">
        <v>3</v>
      </c>
      <c r="AD183" s="131" t="s">
        <v>3</v>
      </c>
      <c r="AE183" s="235" t="s">
        <v>3</v>
      </c>
      <c r="AF183" s="131" t="s">
        <v>3</v>
      </c>
      <c r="AG183" s="131" t="s">
        <v>3</v>
      </c>
      <c r="AH183" s="235" t="s">
        <v>3</v>
      </c>
      <c r="AI183" s="131">
        <v>-24.1</v>
      </c>
      <c r="AJ183" s="131">
        <f t="shared" si="484"/>
        <v>-22.299999999999997</v>
      </c>
      <c r="AK183" s="235">
        <v>-46.4</v>
      </c>
      <c r="AL183" s="131">
        <v>-26.7</v>
      </c>
      <c r="AM183" s="131">
        <f t="shared" si="485"/>
        <v>-23.3</v>
      </c>
      <c r="AN183" s="235">
        <v>-50</v>
      </c>
      <c r="AO183" s="131">
        <v>-23.9</v>
      </c>
      <c r="AP183" s="131">
        <f t="shared" si="486"/>
        <v>-21.1</v>
      </c>
      <c r="AQ183" s="235">
        <v>-45</v>
      </c>
      <c r="AR183" s="131">
        <v>-24.6</v>
      </c>
      <c r="AS183" s="131">
        <v>-25.3</v>
      </c>
      <c r="AT183" s="235">
        <f t="shared" si="487"/>
        <v>-49.900000000000006</v>
      </c>
      <c r="AU183" s="131">
        <v>-26.2</v>
      </c>
      <c r="AV183" s="131">
        <f t="shared" si="472"/>
        <v>-24.8</v>
      </c>
      <c r="AW183" s="235">
        <v>-51</v>
      </c>
      <c r="AX183" s="131">
        <v>-27.1</v>
      </c>
      <c r="AY183" s="131">
        <f t="shared" si="473"/>
        <v>-20.399999999999999</v>
      </c>
      <c r="AZ183" s="235">
        <v>-47.5</v>
      </c>
    </row>
    <row r="184" spans="2:52" s="225" customFormat="1" ht="15" customHeight="1" x14ac:dyDescent="0.3">
      <c r="B184" s="362" t="s">
        <v>75</v>
      </c>
      <c r="C184" s="542"/>
      <c r="D184" s="542"/>
      <c r="E184" s="542"/>
      <c r="F184" s="542"/>
      <c r="G184" s="542"/>
      <c r="H184" s="542"/>
      <c r="I184" s="542"/>
      <c r="J184" s="542"/>
      <c r="K184" s="542"/>
      <c r="L184" s="542"/>
      <c r="M184" s="542"/>
      <c r="N184" s="542"/>
      <c r="O184" s="542"/>
      <c r="P184" s="542"/>
      <c r="Q184" s="542"/>
      <c r="R184" s="542"/>
      <c r="S184" s="542"/>
      <c r="T184" s="131">
        <v>-25.5</v>
      </c>
      <c r="U184" s="131">
        <f t="shared" si="479"/>
        <v>-12.399999999999999</v>
      </c>
      <c r="V184" s="235">
        <v>-37.9</v>
      </c>
      <c r="W184" s="131">
        <v>-26.9</v>
      </c>
      <c r="X184" s="131">
        <f t="shared" si="480"/>
        <v>-13</v>
      </c>
      <c r="Y184" s="235">
        <v>-39.9</v>
      </c>
      <c r="Z184" s="131">
        <v>-28.7</v>
      </c>
      <c r="AA184" s="131">
        <f t="shared" si="481"/>
        <v>-13.900000000000002</v>
      </c>
      <c r="AB184" s="235">
        <v>-42.6</v>
      </c>
      <c r="AC184" s="131">
        <v>-94.3</v>
      </c>
      <c r="AD184" s="131">
        <f t="shared" si="482"/>
        <v>-15.400000000000006</v>
      </c>
      <c r="AE184" s="235">
        <v>-109.7</v>
      </c>
      <c r="AF184" s="131">
        <v>-112.9</v>
      </c>
      <c r="AG184" s="131">
        <f t="shared" si="483"/>
        <v>-16.199999999999989</v>
      </c>
      <c r="AH184" s="235">
        <v>-129.1</v>
      </c>
      <c r="AI184" s="131">
        <v>-121.6</v>
      </c>
      <c r="AJ184" s="131">
        <f t="shared" si="484"/>
        <v>0</v>
      </c>
      <c r="AK184" s="235">
        <v>-121.6</v>
      </c>
      <c r="AL184" s="131" t="s">
        <v>3</v>
      </c>
      <c r="AM184" s="131" t="s">
        <v>3</v>
      </c>
      <c r="AN184" s="235" t="s">
        <v>3</v>
      </c>
      <c r="AO184" s="131">
        <v>-170.5</v>
      </c>
      <c r="AP184" s="131">
        <f t="shared" ref="AP184" si="488">AQ184-AO184</f>
        <v>-15.900000000000006</v>
      </c>
      <c r="AQ184" s="235">
        <v>-186.4</v>
      </c>
      <c r="AR184" s="131">
        <v>-149.9</v>
      </c>
      <c r="AS184" s="131">
        <v>-15.2</v>
      </c>
      <c r="AT184" s="235">
        <f t="shared" si="487"/>
        <v>-165.1</v>
      </c>
      <c r="AU184" s="131">
        <v>-68.3</v>
      </c>
      <c r="AV184" s="131">
        <f t="shared" si="472"/>
        <v>-15</v>
      </c>
      <c r="AW184" s="235">
        <v>-83.3</v>
      </c>
      <c r="AX184" s="131">
        <v>-32.6</v>
      </c>
      <c r="AY184" s="131">
        <f t="shared" si="473"/>
        <v>-15.199999999999996</v>
      </c>
      <c r="AZ184" s="235">
        <v>-47.8</v>
      </c>
    </row>
    <row r="185" spans="2:52" s="225" customFormat="1" ht="15" customHeight="1" x14ac:dyDescent="0.3">
      <c r="B185" s="362" t="s">
        <v>661</v>
      </c>
      <c r="C185" s="542"/>
      <c r="D185" s="542"/>
      <c r="E185" s="542"/>
      <c r="F185" s="542"/>
      <c r="G185" s="542"/>
      <c r="H185" s="542"/>
      <c r="I185" s="542"/>
      <c r="J185" s="542"/>
      <c r="K185" s="542"/>
      <c r="L185" s="542"/>
      <c r="M185" s="542"/>
      <c r="N185" s="542"/>
      <c r="O185" s="542"/>
      <c r="P185" s="542"/>
      <c r="Q185" s="542"/>
      <c r="R185" s="542"/>
      <c r="S185" s="542"/>
      <c r="T185" s="131" t="s">
        <v>3</v>
      </c>
      <c r="U185" s="131" t="s">
        <v>3</v>
      </c>
      <c r="V185" s="235" t="s">
        <v>3</v>
      </c>
      <c r="W185" s="131" t="s">
        <v>3</v>
      </c>
      <c r="X185" s="131" t="s">
        <v>3</v>
      </c>
      <c r="Y185" s="235" t="s">
        <v>3</v>
      </c>
      <c r="Z185" s="131" t="s">
        <v>3</v>
      </c>
      <c r="AA185" s="131" t="s">
        <v>3</v>
      </c>
      <c r="AB185" s="235" t="s">
        <v>3</v>
      </c>
      <c r="AC185" s="131" t="s">
        <v>3</v>
      </c>
      <c r="AD185" s="131" t="s">
        <v>3</v>
      </c>
      <c r="AE185" s="235" t="s">
        <v>3</v>
      </c>
      <c r="AF185" s="131" t="s">
        <v>3</v>
      </c>
      <c r="AG185" s="131" t="s">
        <v>3</v>
      </c>
      <c r="AH185" s="235" t="s">
        <v>3</v>
      </c>
      <c r="AI185" s="131">
        <v>0</v>
      </c>
      <c r="AJ185" s="131">
        <f t="shared" si="484"/>
        <v>195.9</v>
      </c>
      <c r="AK185" s="235">
        <v>195.9</v>
      </c>
      <c r="AL185" s="131" t="s">
        <v>3</v>
      </c>
      <c r="AM185" s="131" t="s">
        <v>3</v>
      </c>
      <c r="AN185" s="235" t="s">
        <v>3</v>
      </c>
      <c r="AO185" s="131" t="s">
        <v>3</v>
      </c>
      <c r="AP185" s="131" t="s">
        <v>3</v>
      </c>
      <c r="AQ185" s="235" t="s">
        <v>3</v>
      </c>
      <c r="AR185" s="131">
        <v>0</v>
      </c>
      <c r="AS185" s="131">
        <v>0</v>
      </c>
      <c r="AT185" s="235">
        <f t="shared" si="487"/>
        <v>0</v>
      </c>
      <c r="AU185" s="131">
        <v>0</v>
      </c>
      <c r="AV185" s="131">
        <f t="shared" si="472"/>
        <v>0</v>
      </c>
      <c r="AW185" s="235">
        <v>0</v>
      </c>
      <c r="AX185" s="131">
        <v>0</v>
      </c>
      <c r="AY185" s="131">
        <f t="shared" si="473"/>
        <v>0</v>
      </c>
      <c r="AZ185" s="235">
        <v>0</v>
      </c>
    </row>
    <row r="186" spans="2:52" s="225" customFormat="1" ht="15" customHeight="1" x14ac:dyDescent="0.3">
      <c r="B186" s="362" t="s">
        <v>76</v>
      </c>
      <c r="C186" s="542"/>
      <c r="D186" s="542"/>
      <c r="E186" s="542"/>
      <c r="F186" s="542"/>
      <c r="G186" s="542"/>
      <c r="H186" s="542"/>
      <c r="I186" s="542"/>
      <c r="J186" s="542"/>
      <c r="K186" s="542"/>
      <c r="L186" s="542"/>
      <c r="M186" s="542"/>
      <c r="N186" s="542"/>
      <c r="O186" s="542"/>
      <c r="P186" s="542"/>
      <c r="Q186" s="542"/>
      <c r="R186" s="542"/>
      <c r="S186" s="542"/>
      <c r="T186" s="131">
        <v>0.2</v>
      </c>
      <c r="U186" s="131">
        <f>V186-T186</f>
        <v>1.6</v>
      </c>
      <c r="V186" s="235">
        <v>1.8</v>
      </c>
      <c r="W186" s="131">
        <v>0.6</v>
      </c>
      <c r="X186" s="131">
        <f>Y186-W186</f>
        <v>0.9</v>
      </c>
      <c r="Y186" s="235">
        <v>1.5</v>
      </c>
      <c r="Z186" s="131">
        <v>0.4</v>
      </c>
      <c r="AA186" s="131">
        <f>AB186-Z186</f>
        <v>0.6</v>
      </c>
      <c r="AB186" s="235">
        <v>1</v>
      </c>
      <c r="AC186" s="131">
        <v>0.4</v>
      </c>
      <c r="AD186" s="131">
        <f t="shared" si="482"/>
        <v>0.9</v>
      </c>
      <c r="AE186" s="235">
        <v>1.3</v>
      </c>
      <c r="AF186" s="131">
        <v>0.3</v>
      </c>
      <c r="AG186" s="131">
        <f t="shared" si="483"/>
        <v>1.5999999999999999</v>
      </c>
      <c r="AH186" s="235">
        <v>1.9</v>
      </c>
      <c r="AI186" s="131">
        <v>0.6</v>
      </c>
      <c r="AJ186" s="131">
        <f t="shared" si="484"/>
        <v>0</v>
      </c>
      <c r="AK186" s="235">
        <v>0.6</v>
      </c>
      <c r="AL186" s="131" t="s">
        <v>3</v>
      </c>
      <c r="AM186" s="131" t="s">
        <v>3</v>
      </c>
      <c r="AN186" s="235" t="s">
        <v>3</v>
      </c>
      <c r="AO186" s="131" t="s">
        <v>3</v>
      </c>
      <c r="AP186" s="131" t="s">
        <v>3</v>
      </c>
      <c r="AQ186" s="235" t="s">
        <v>3</v>
      </c>
      <c r="AR186" s="131">
        <v>0</v>
      </c>
      <c r="AS186" s="131">
        <v>0</v>
      </c>
      <c r="AT186" s="235">
        <f t="shared" si="487"/>
        <v>0</v>
      </c>
      <c r="AU186" s="131">
        <v>0</v>
      </c>
      <c r="AV186" s="131">
        <f t="shared" si="472"/>
        <v>0</v>
      </c>
      <c r="AW186" s="235">
        <v>0</v>
      </c>
      <c r="AX186" s="131">
        <v>0</v>
      </c>
      <c r="AY186" s="131">
        <f t="shared" si="473"/>
        <v>0</v>
      </c>
      <c r="AZ186" s="235">
        <v>0</v>
      </c>
    </row>
    <row r="187" spans="2:52" s="225" customFormat="1" ht="15" customHeight="1" x14ac:dyDescent="0.3">
      <c r="B187" s="362" t="s">
        <v>87</v>
      </c>
      <c r="C187" s="542"/>
      <c r="D187" s="542"/>
      <c r="E187" s="542"/>
      <c r="F187" s="542"/>
      <c r="G187" s="542"/>
      <c r="H187" s="542"/>
      <c r="I187" s="542"/>
      <c r="J187" s="542"/>
      <c r="K187" s="542"/>
      <c r="L187" s="542"/>
      <c r="M187" s="542"/>
      <c r="N187" s="542"/>
      <c r="O187" s="542"/>
      <c r="P187" s="542"/>
      <c r="Q187" s="542"/>
      <c r="R187" s="542"/>
      <c r="S187" s="542"/>
      <c r="T187" s="131">
        <v>25</v>
      </c>
      <c r="U187" s="131">
        <f>V187-T187</f>
        <v>-35.200000000000003</v>
      </c>
      <c r="V187" s="235">
        <v>-10.199999999999999</v>
      </c>
      <c r="W187" s="131">
        <v>20</v>
      </c>
      <c r="X187" s="131">
        <f>Y187-W187</f>
        <v>-94.4</v>
      </c>
      <c r="Y187" s="235">
        <v>-74.400000000000006</v>
      </c>
      <c r="Z187" s="131">
        <v>40</v>
      </c>
      <c r="AA187" s="131">
        <f>AB187-Z187</f>
        <v>-65.8</v>
      </c>
      <c r="AB187" s="235">
        <v>-25.8</v>
      </c>
      <c r="AC187" s="131">
        <v>79.599999999999994</v>
      </c>
      <c r="AD187" s="131">
        <f t="shared" si="482"/>
        <v>-80</v>
      </c>
      <c r="AE187" s="235">
        <v>-0.4</v>
      </c>
      <c r="AF187" s="131">
        <v>85</v>
      </c>
      <c r="AG187" s="131">
        <f t="shared" si="483"/>
        <v>-85</v>
      </c>
      <c r="AH187" s="235">
        <v>0</v>
      </c>
      <c r="AI187" s="131">
        <v>90</v>
      </c>
      <c r="AJ187" s="131">
        <f t="shared" si="484"/>
        <v>-90</v>
      </c>
      <c r="AK187" s="235">
        <v>0</v>
      </c>
      <c r="AL187" s="131" t="s">
        <v>3</v>
      </c>
      <c r="AM187" s="131" t="s">
        <v>3</v>
      </c>
      <c r="AN187" s="235" t="s">
        <v>3</v>
      </c>
      <c r="AO187" s="131" t="s">
        <v>3</v>
      </c>
      <c r="AP187" s="131" t="s">
        <v>3</v>
      </c>
      <c r="AQ187" s="235" t="s">
        <v>3</v>
      </c>
      <c r="AR187" s="131">
        <v>90</v>
      </c>
      <c r="AS187" s="131">
        <v>-80</v>
      </c>
      <c r="AT187" s="235">
        <f t="shared" si="487"/>
        <v>10</v>
      </c>
      <c r="AU187" s="131">
        <v>75</v>
      </c>
      <c r="AV187" s="131">
        <f t="shared" si="472"/>
        <v>-20</v>
      </c>
      <c r="AW187" s="235">
        <v>55</v>
      </c>
      <c r="AX187" s="131">
        <v>60</v>
      </c>
      <c r="AY187" s="131">
        <f t="shared" si="473"/>
        <v>-30</v>
      </c>
      <c r="AZ187" s="235">
        <v>30</v>
      </c>
    </row>
    <row r="188" spans="2:52" s="225" customFormat="1" ht="15" customHeight="1" x14ac:dyDescent="0.3">
      <c r="B188" s="362" t="s">
        <v>88</v>
      </c>
      <c r="C188" s="542"/>
      <c r="D188" s="542"/>
      <c r="E188" s="542"/>
      <c r="F188" s="542"/>
      <c r="G188" s="542"/>
      <c r="H188" s="542"/>
      <c r="I188" s="542"/>
      <c r="J188" s="542"/>
      <c r="K188" s="542"/>
      <c r="L188" s="542"/>
      <c r="M188" s="542"/>
      <c r="N188" s="542"/>
      <c r="O188" s="542"/>
      <c r="P188" s="542"/>
      <c r="Q188" s="542"/>
      <c r="R188" s="542"/>
      <c r="S188" s="542"/>
      <c r="T188" s="131" t="s">
        <v>3</v>
      </c>
      <c r="U188" s="131" t="s">
        <v>3</v>
      </c>
      <c r="V188" s="235" t="s">
        <v>3</v>
      </c>
      <c r="W188" s="131" t="s">
        <v>3</v>
      </c>
      <c r="X188" s="131" t="s">
        <v>3</v>
      </c>
      <c r="Y188" s="235" t="s">
        <v>3</v>
      </c>
      <c r="Z188" s="131" t="s">
        <v>3</v>
      </c>
      <c r="AA188" s="131" t="s">
        <v>3</v>
      </c>
      <c r="AB188" s="235" t="s">
        <v>3</v>
      </c>
      <c r="AC188" s="131" t="s">
        <v>3</v>
      </c>
      <c r="AD188" s="131" t="s">
        <v>3</v>
      </c>
      <c r="AE188" s="235" t="s">
        <v>3</v>
      </c>
      <c r="AF188" s="131" t="s">
        <v>3</v>
      </c>
      <c r="AG188" s="131" t="s">
        <v>3</v>
      </c>
      <c r="AH188" s="235" t="s">
        <v>3</v>
      </c>
      <c r="AI188" s="131" t="s">
        <v>3</v>
      </c>
      <c r="AJ188" s="131" t="s">
        <v>3</v>
      </c>
      <c r="AK188" s="235" t="s">
        <v>3</v>
      </c>
      <c r="AL188" s="131" t="s">
        <v>3</v>
      </c>
      <c r="AM188" s="131" t="s">
        <v>3</v>
      </c>
      <c r="AN188" s="235" t="s">
        <v>3</v>
      </c>
      <c r="AO188" s="131" t="s">
        <v>3</v>
      </c>
      <c r="AP188" s="131" t="s">
        <v>3</v>
      </c>
      <c r="AQ188" s="235" t="s">
        <v>3</v>
      </c>
      <c r="AR188" s="131">
        <v>0</v>
      </c>
      <c r="AS188" s="131">
        <v>0</v>
      </c>
      <c r="AT188" s="235">
        <f t="shared" si="487"/>
        <v>0</v>
      </c>
      <c r="AU188" s="131">
        <v>0</v>
      </c>
      <c r="AV188" s="131">
        <f t="shared" si="472"/>
        <v>0</v>
      </c>
      <c r="AW188" s="235">
        <v>0</v>
      </c>
      <c r="AX188" s="131">
        <v>0</v>
      </c>
      <c r="AY188" s="131">
        <f t="shared" si="473"/>
        <v>0</v>
      </c>
      <c r="AZ188" s="235">
        <v>0</v>
      </c>
    </row>
    <row r="189" spans="2:52" s="225" customFormat="1" ht="15" customHeight="1" x14ac:dyDescent="0.3">
      <c r="B189" s="362" t="s">
        <v>89</v>
      </c>
      <c r="C189" s="542"/>
      <c r="D189" s="542"/>
      <c r="E189" s="542"/>
      <c r="F189" s="542"/>
      <c r="G189" s="542"/>
      <c r="H189" s="542"/>
      <c r="I189" s="542"/>
      <c r="J189" s="542"/>
      <c r="K189" s="542"/>
      <c r="L189" s="542"/>
      <c r="M189" s="542"/>
      <c r="N189" s="542"/>
      <c r="O189" s="542"/>
      <c r="P189" s="542"/>
      <c r="Q189" s="542"/>
      <c r="R189" s="542"/>
      <c r="S189" s="542"/>
      <c r="T189" s="131" t="s">
        <v>3</v>
      </c>
      <c r="U189" s="131" t="s">
        <v>3</v>
      </c>
      <c r="V189" s="235" t="s">
        <v>3</v>
      </c>
      <c r="W189" s="131" t="s">
        <v>3</v>
      </c>
      <c r="X189" s="131" t="s">
        <v>3</v>
      </c>
      <c r="Y189" s="235" t="s">
        <v>3</v>
      </c>
      <c r="Z189" s="131" t="s">
        <v>3</v>
      </c>
      <c r="AA189" s="131" t="s">
        <v>3</v>
      </c>
      <c r="AB189" s="235" t="s">
        <v>3</v>
      </c>
      <c r="AC189" s="131" t="s">
        <v>3</v>
      </c>
      <c r="AD189" s="131" t="s">
        <v>3</v>
      </c>
      <c r="AE189" s="235" t="s">
        <v>3</v>
      </c>
      <c r="AF189" s="131" t="s">
        <v>3</v>
      </c>
      <c r="AG189" s="131" t="s">
        <v>3</v>
      </c>
      <c r="AH189" s="235" t="s">
        <v>3</v>
      </c>
      <c r="AI189" s="131" t="s">
        <v>3</v>
      </c>
      <c r="AJ189" s="131" t="s">
        <v>3</v>
      </c>
      <c r="AK189" s="235" t="s">
        <v>3</v>
      </c>
      <c r="AL189" s="131" t="s">
        <v>3</v>
      </c>
      <c r="AM189" s="131" t="s">
        <v>3</v>
      </c>
      <c r="AN189" s="235" t="s">
        <v>3</v>
      </c>
      <c r="AO189" s="131" t="s">
        <v>3</v>
      </c>
      <c r="AP189" s="131" t="s">
        <v>3</v>
      </c>
      <c r="AQ189" s="235" t="s">
        <v>3</v>
      </c>
      <c r="AR189" s="131">
        <v>0</v>
      </c>
      <c r="AS189" s="131">
        <v>0</v>
      </c>
      <c r="AT189" s="235">
        <f t="shared" si="487"/>
        <v>0</v>
      </c>
      <c r="AU189" s="131">
        <v>0</v>
      </c>
      <c r="AV189" s="131">
        <f t="shared" si="472"/>
        <v>0</v>
      </c>
      <c r="AW189" s="235">
        <v>0</v>
      </c>
      <c r="AX189" s="131">
        <v>0</v>
      </c>
      <c r="AY189" s="131">
        <f t="shared" si="473"/>
        <v>0</v>
      </c>
      <c r="AZ189" s="235">
        <v>0</v>
      </c>
    </row>
    <row r="190" spans="2:52" s="225" customFormat="1" ht="15" customHeight="1" x14ac:dyDescent="0.3">
      <c r="B190" s="362" t="s">
        <v>84</v>
      </c>
      <c r="C190" s="542"/>
      <c r="D190" s="542"/>
      <c r="E190" s="542"/>
      <c r="F190" s="542"/>
      <c r="G190" s="542"/>
      <c r="H190" s="542"/>
      <c r="I190" s="542"/>
      <c r="J190" s="542"/>
      <c r="K190" s="542"/>
      <c r="L190" s="542"/>
      <c r="M190" s="542"/>
      <c r="N190" s="542"/>
      <c r="O190" s="542"/>
      <c r="P190" s="542"/>
      <c r="Q190" s="542"/>
      <c r="R190" s="542"/>
      <c r="S190" s="542"/>
      <c r="T190" s="131" t="s">
        <v>3</v>
      </c>
      <c r="U190" s="332" t="s">
        <v>3</v>
      </c>
      <c r="V190" s="555" t="s">
        <v>3</v>
      </c>
      <c r="W190" s="131" t="s">
        <v>3</v>
      </c>
      <c r="X190" s="332" t="s">
        <v>3</v>
      </c>
      <c r="Y190" s="555" t="s">
        <v>3</v>
      </c>
      <c r="Z190" s="131" t="s">
        <v>3</v>
      </c>
      <c r="AA190" s="332" t="s">
        <v>3</v>
      </c>
      <c r="AB190" s="555" t="s">
        <v>3</v>
      </c>
      <c r="AC190" s="131" t="s">
        <v>3</v>
      </c>
      <c r="AD190" s="332" t="s">
        <v>3</v>
      </c>
      <c r="AE190" s="555" t="s">
        <v>3</v>
      </c>
      <c r="AF190" s="131">
        <v>-0.1</v>
      </c>
      <c r="AG190" s="131">
        <f t="shared" ref="AG190" si="489">AH190-AF190</f>
        <v>0</v>
      </c>
      <c r="AH190" s="555">
        <v>-0.1</v>
      </c>
      <c r="AI190" s="131">
        <v>0</v>
      </c>
      <c r="AJ190" s="131">
        <f t="shared" ref="AJ190" si="490">AK190-AI190</f>
        <v>-0.2</v>
      </c>
      <c r="AK190" s="555">
        <v>-0.2</v>
      </c>
      <c r="AL190" s="131">
        <v>-6.4</v>
      </c>
      <c r="AM190" s="131">
        <f t="shared" ref="AM190" si="491">AN190-AL190</f>
        <v>0</v>
      </c>
      <c r="AN190" s="555">
        <v>-6.4</v>
      </c>
      <c r="AO190" s="131">
        <v>-11.6</v>
      </c>
      <c r="AP190" s="131">
        <f t="shared" ref="AP190" si="492">AQ190-AO190</f>
        <v>-26.4</v>
      </c>
      <c r="AQ190" s="555">
        <v>-38</v>
      </c>
      <c r="AR190" s="131">
        <v>-57.6</v>
      </c>
      <c r="AS190" s="131">
        <v>-18.100000000000001</v>
      </c>
      <c r="AT190" s="555">
        <f t="shared" si="487"/>
        <v>-75.7</v>
      </c>
      <c r="AU190" s="131">
        <v>-12.3</v>
      </c>
      <c r="AV190" s="131">
        <f t="shared" si="472"/>
        <v>0</v>
      </c>
      <c r="AW190" s="555">
        <v>-12.3</v>
      </c>
      <c r="AX190" s="131">
        <v>0</v>
      </c>
      <c r="AY190" s="131">
        <f t="shared" si="473"/>
        <v>0</v>
      </c>
      <c r="AZ190" s="555">
        <v>0</v>
      </c>
    </row>
    <row r="191" spans="2:52" s="225" customFormat="1" ht="15" customHeight="1" x14ac:dyDescent="0.3">
      <c r="B191" s="362" t="s">
        <v>85</v>
      </c>
      <c r="C191" s="542"/>
      <c r="D191" s="542"/>
      <c r="E191" s="542"/>
      <c r="F191" s="542"/>
      <c r="G191" s="542"/>
      <c r="H191" s="542"/>
      <c r="I191" s="542"/>
      <c r="J191" s="542"/>
      <c r="K191" s="542"/>
      <c r="L191" s="542"/>
      <c r="M191" s="542"/>
      <c r="N191" s="542"/>
      <c r="O191" s="542"/>
      <c r="P191" s="542"/>
      <c r="Q191" s="542"/>
      <c r="R191" s="542"/>
      <c r="S191" s="542"/>
      <c r="T191" s="131" t="s">
        <v>3</v>
      </c>
      <c r="U191" s="332" t="s">
        <v>3</v>
      </c>
      <c r="V191" s="555" t="s">
        <v>3</v>
      </c>
      <c r="W191" s="131" t="s">
        <v>3</v>
      </c>
      <c r="X191" s="332" t="s">
        <v>3</v>
      </c>
      <c r="Y191" s="555" t="s">
        <v>3</v>
      </c>
      <c r="Z191" s="131" t="s">
        <v>3</v>
      </c>
      <c r="AA191" s="332" t="s">
        <v>3</v>
      </c>
      <c r="AB191" s="555" t="s">
        <v>3</v>
      </c>
      <c r="AC191" s="131" t="s">
        <v>3</v>
      </c>
      <c r="AD191" s="332" t="s">
        <v>3</v>
      </c>
      <c r="AE191" s="555" t="s">
        <v>3</v>
      </c>
      <c r="AF191" s="131" t="s">
        <v>3</v>
      </c>
      <c r="AG191" s="332" t="s">
        <v>3</v>
      </c>
      <c r="AH191" s="555" t="s">
        <v>3</v>
      </c>
      <c r="AI191" s="131" t="s">
        <v>3</v>
      </c>
      <c r="AJ191" s="332" t="s">
        <v>3</v>
      </c>
      <c r="AK191" s="555" t="s">
        <v>3</v>
      </c>
      <c r="AL191" s="131" t="s">
        <v>3</v>
      </c>
      <c r="AM191" s="332" t="s">
        <v>3</v>
      </c>
      <c r="AN191" s="555" t="s">
        <v>3</v>
      </c>
      <c r="AO191" s="131" t="s">
        <v>3</v>
      </c>
      <c r="AP191" s="332" t="s">
        <v>3</v>
      </c>
      <c r="AQ191" s="555" t="s">
        <v>3</v>
      </c>
      <c r="AR191" s="131">
        <v>0</v>
      </c>
      <c r="AS191" s="332">
        <v>0</v>
      </c>
      <c r="AT191" s="555">
        <f t="shared" si="487"/>
        <v>0</v>
      </c>
      <c r="AU191" s="131">
        <v>0</v>
      </c>
      <c r="AV191" s="332">
        <f t="shared" si="472"/>
        <v>0</v>
      </c>
      <c r="AW191" s="555">
        <v>0</v>
      </c>
      <c r="AX191" s="131">
        <v>0</v>
      </c>
      <c r="AY191" s="332">
        <f t="shared" si="473"/>
        <v>0</v>
      </c>
      <c r="AZ191" s="555">
        <v>0</v>
      </c>
    </row>
    <row r="192" spans="2:52" s="225" customFormat="1" ht="15" customHeight="1" thickBot="1" x14ac:dyDescent="0.35">
      <c r="B192" s="362" t="s">
        <v>86</v>
      </c>
      <c r="C192" s="542"/>
      <c r="D192" s="542"/>
      <c r="E192" s="542"/>
      <c r="F192" s="542"/>
      <c r="G192" s="542"/>
      <c r="H192" s="542"/>
      <c r="I192" s="542"/>
      <c r="J192" s="542"/>
      <c r="K192" s="542"/>
      <c r="L192" s="542"/>
      <c r="M192" s="542"/>
      <c r="N192" s="542"/>
      <c r="O192" s="542"/>
      <c r="P192" s="542"/>
      <c r="Q192" s="542"/>
      <c r="R192" s="542"/>
      <c r="S192" s="542"/>
      <c r="T192" s="131" t="s">
        <v>3</v>
      </c>
      <c r="U192" s="332" t="s">
        <v>3</v>
      </c>
      <c r="V192" s="555" t="s">
        <v>3</v>
      </c>
      <c r="W192" s="131" t="s">
        <v>3</v>
      </c>
      <c r="X192" s="332" t="s">
        <v>3</v>
      </c>
      <c r="Y192" s="555" t="s">
        <v>3</v>
      </c>
      <c r="Z192" s="131" t="s">
        <v>3</v>
      </c>
      <c r="AA192" s="332" t="s">
        <v>3</v>
      </c>
      <c r="AB192" s="555" t="s">
        <v>3</v>
      </c>
      <c r="AC192" s="131" t="s">
        <v>3</v>
      </c>
      <c r="AD192" s="332" t="s">
        <v>3</v>
      </c>
      <c r="AE192" s="555" t="s">
        <v>3</v>
      </c>
      <c r="AF192" s="131" t="s">
        <v>3</v>
      </c>
      <c r="AG192" s="332" t="s">
        <v>3</v>
      </c>
      <c r="AH192" s="555" t="s">
        <v>3</v>
      </c>
      <c r="AI192" s="131" t="s">
        <v>3</v>
      </c>
      <c r="AJ192" s="332" t="s">
        <v>3</v>
      </c>
      <c r="AK192" s="555" t="s">
        <v>3</v>
      </c>
      <c r="AL192" s="131" t="s">
        <v>3</v>
      </c>
      <c r="AM192" s="332" t="s">
        <v>3</v>
      </c>
      <c r="AN192" s="555" t="s">
        <v>3</v>
      </c>
      <c r="AO192" s="131" t="s">
        <v>3</v>
      </c>
      <c r="AP192" s="332" t="s">
        <v>3</v>
      </c>
      <c r="AQ192" s="555" t="s">
        <v>3</v>
      </c>
      <c r="AR192" s="131">
        <v>0</v>
      </c>
      <c r="AS192" s="332">
        <v>0</v>
      </c>
      <c r="AT192" s="555">
        <f t="shared" si="487"/>
        <v>0</v>
      </c>
      <c r="AU192" s="131">
        <v>0</v>
      </c>
      <c r="AV192" s="332">
        <f t="shared" si="472"/>
        <v>0</v>
      </c>
      <c r="AW192" s="555">
        <v>0</v>
      </c>
      <c r="AX192" s="131">
        <v>0</v>
      </c>
      <c r="AY192" s="332">
        <f t="shared" si="473"/>
        <v>0</v>
      </c>
      <c r="AZ192" s="555">
        <v>0</v>
      </c>
    </row>
    <row r="193" spans="2:52" s="225" customFormat="1" ht="15" customHeight="1" thickBot="1" x14ac:dyDescent="0.35">
      <c r="B193" s="363" t="s">
        <v>77</v>
      </c>
      <c r="C193" s="556"/>
      <c r="D193" s="556"/>
      <c r="E193" s="556"/>
      <c r="F193" s="556"/>
      <c r="G193" s="556"/>
      <c r="H193" s="556"/>
      <c r="I193" s="556"/>
      <c r="J193" s="556"/>
      <c r="K193" s="556"/>
      <c r="L193" s="556"/>
      <c r="M193" s="556"/>
      <c r="N193" s="556"/>
      <c r="O193" s="556"/>
      <c r="P193" s="556"/>
      <c r="Q193" s="556"/>
      <c r="R193" s="556"/>
      <c r="S193" s="556"/>
      <c r="T193" s="322">
        <f t="shared" ref="T193:AB193" si="493">SUM(T182:T192)</f>
        <v>-3.1000000000000014</v>
      </c>
      <c r="U193" s="322">
        <f t="shared" si="493"/>
        <v>-48.900000000000006</v>
      </c>
      <c r="V193" s="547">
        <f t="shared" si="493"/>
        <v>-52</v>
      </c>
      <c r="W193" s="322">
        <f t="shared" si="493"/>
        <v>-7.9999999999999964</v>
      </c>
      <c r="X193" s="322">
        <f t="shared" si="493"/>
        <v>-108.9</v>
      </c>
      <c r="Y193" s="547">
        <f t="shared" si="493"/>
        <v>-116.9</v>
      </c>
      <c r="Z193" s="322">
        <f t="shared" si="493"/>
        <v>10.099999999999998</v>
      </c>
      <c r="AA193" s="322">
        <f t="shared" si="493"/>
        <v>-80</v>
      </c>
      <c r="AB193" s="547">
        <f t="shared" si="493"/>
        <v>-69.900000000000006</v>
      </c>
      <c r="AC193" s="322">
        <v>-15.5</v>
      </c>
      <c r="AD193" s="322">
        <f>SUM(AD182:AD187)</f>
        <v>-95.9</v>
      </c>
      <c r="AE193" s="547">
        <v>-111.4</v>
      </c>
      <c r="AF193" s="322">
        <v>-30</v>
      </c>
      <c r="AG193" s="322">
        <f>SUM(AG182:AG187)</f>
        <v>-100.6</v>
      </c>
      <c r="AH193" s="547">
        <v>-130.6</v>
      </c>
      <c r="AI193" s="322">
        <f>SUM(AI182:AI192)</f>
        <v>-56.099999999999994</v>
      </c>
      <c r="AJ193" s="322">
        <f>SUM(AJ182:AJ187)</f>
        <v>82.600000000000023</v>
      </c>
      <c r="AK193" s="547">
        <f>SUM(AK182:AK192)</f>
        <v>26.300000000000008</v>
      </c>
      <c r="AL193" s="322">
        <f>SUM(AL182:AL192)</f>
        <v>-33.9</v>
      </c>
      <c r="AM193" s="322">
        <f>SUM(AM182:AM187)</f>
        <v>-23.8</v>
      </c>
      <c r="AN193" s="547">
        <f t="shared" ref="AN193:AV193" si="494">SUM(AN182:AN192)</f>
        <v>-57.699999999999996</v>
      </c>
      <c r="AO193" s="322">
        <f t="shared" si="494"/>
        <v>-206.6</v>
      </c>
      <c r="AP193" s="322">
        <f t="shared" si="494"/>
        <v>-64.099999999999994</v>
      </c>
      <c r="AQ193" s="547">
        <f t="shared" si="494"/>
        <v>-270.7</v>
      </c>
      <c r="AR193" s="322">
        <f t="shared" si="494"/>
        <v>-144.20000000000002</v>
      </c>
      <c r="AS193" s="322">
        <f t="shared" si="494"/>
        <v>-140.19999999999999</v>
      </c>
      <c r="AT193" s="547">
        <f t="shared" si="494"/>
        <v>-284.39999999999998</v>
      </c>
      <c r="AU193" s="322">
        <f t="shared" si="494"/>
        <v>-34.799999999999997</v>
      </c>
      <c r="AV193" s="322">
        <f t="shared" si="494"/>
        <v>-64</v>
      </c>
      <c r="AW193" s="547">
        <v>-98.8</v>
      </c>
      <c r="AX193" s="322">
        <f>SUM(AX182:AX192)</f>
        <v>-4.3000000000000114</v>
      </c>
      <c r="AY193" s="322">
        <f t="shared" ref="AY193" si="495">SUM(AY182:AY192)</f>
        <v>-70.5</v>
      </c>
      <c r="AZ193" s="547">
        <f>SUM(AZ182:AZ192)</f>
        <v>-74.8</v>
      </c>
    </row>
    <row r="194" spans="2:52" s="225" customFormat="1" ht="15" customHeight="1" x14ac:dyDescent="0.3">
      <c r="B194" s="361" t="s">
        <v>78</v>
      </c>
      <c r="C194" s="548"/>
      <c r="D194" s="548"/>
      <c r="E194" s="548"/>
      <c r="F194" s="548"/>
      <c r="G194" s="548"/>
      <c r="H194" s="548"/>
      <c r="I194" s="548"/>
      <c r="J194" s="548"/>
      <c r="K194" s="548"/>
      <c r="L194" s="548"/>
      <c r="M194" s="548"/>
      <c r="N194" s="548"/>
      <c r="O194" s="548"/>
      <c r="P194" s="548"/>
      <c r="Q194" s="548"/>
      <c r="R194" s="548"/>
      <c r="S194" s="548"/>
      <c r="T194" s="321">
        <f t="shared" ref="T194:AU194" si="496">SUM(T172,T180,T193)</f>
        <v>10.999999999999993</v>
      </c>
      <c r="U194" s="321">
        <f t="shared" si="496"/>
        <v>20.399999999999977</v>
      </c>
      <c r="V194" s="549">
        <f t="shared" si="496"/>
        <v>31.399999999999991</v>
      </c>
      <c r="W194" s="321">
        <f t="shared" si="496"/>
        <v>-8.6999999999999957</v>
      </c>
      <c r="X194" s="321">
        <f t="shared" si="496"/>
        <v>-19.400000000000006</v>
      </c>
      <c r="Y194" s="549">
        <f t="shared" si="496"/>
        <v>-28.100000000000009</v>
      </c>
      <c r="Z194" s="321">
        <f t="shared" si="496"/>
        <v>46.599999999999994</v>
      </c>
      <c r="AA194" s="321">
        <f t="shared" si="496"/>
        <v>-3.3000000000000114</v>
      </c>
      <c r="AB194" s="549">
        <f t="shared" si="496"/>
        <v>43.3</v>
      </c>
      <c r="AC194" s="321">
        <f t="shared" si="496"/>
        <v>3.8000000000000043</v>
      </c>
      <c r="AD194" s="321">
        <f t="shared" si="496"/>
        <v>9.2000000000000028</v>
      </c>
      <c r="AE194" s="549">
        <f t="shared" si="496"/>
        <v>13</v>
      </c>
      <c r="AF194" s="321">
        <f t="shared" si="496"/>
        <v>-6.2000000000000028</v>
      </c>
      <c r="AG194" s="321">
        <f t="shared" si="496"/>
        <v>12.100000000000023</v>
      </c>
      <c r="AH194" s="549">
        <f t="shared" si="496"/>
        <v>6.0000000000000853</v>
      </c>
      <c r="AI194" s="321">
        <f t="shared" si="496"/>
        <v>-21.5</v>
      </c>
      <c r="AJ194" s="321">
        <f t="shared" si="496"/>
        <v>377.00000000000006</v>
      </c>
      <c r="AK194" s="549">
        <f t="shared" si="496"/>
        <v>355.3</v>
      </c>
      <c r="AL194" s="321">
        <f t="shared" si="496"/>
        <v>-89.9</v>
      </c>
      <c r="AM194" s="321">
        <f t="shared" si="496"/>
        <v>19.799999999999994</v>
      </c>
      <c r="AN194" s="549">
        <f t="shared" si="496"/>
        <v>-70.099999999999994</v>
      </c>
      <c r="AO194" s="321">
        <f t="shared" si="496"/>
        <v>-173.3</v>
      </c>
      <c r="AP194" s="321">
        <f t="shared" si="496"/>
        <v>50.699999999999989</v>
      </c>
      <c r="AQ194" s="549">
        <f t="shared" si="496"/>
        <v>-122.59999999999997</v>
      </c>
      <c r="AR194" s="321">
        <f t="shared" si="496"/>
        <v>-106.80000000000001</v>
      </c>
      <c r="AS194" s="321">
        <f t="shared" si="496"/>
        <v>-39.999999999999972</v>
      </c>
      <c r="AT194" s="549">
        <f>SUM(AT172,AT180,AT193)</f>
        <v>-146.79999999999998</v>
      </c>
      <c r="AU194" s="321">
        <f t="shared" si="496"/>
        <v>2.3000000000000256</v>
      </c>
      <c r="AV194" s="321">
        <f t="shared" si="472"/>
        <v>-25.500000000000025</v>
      </c>
      <c r="AW194" s="549">
        <v>-23.2</v>
      </c>
      <c r="AX194" s="321">
        <v>36.1</v>
      </c>
      <c r="AY194" s="321">
        <f t="shared" si="473"/>
        <v>-21.5</v>
      </c>
      <c r="AZ194" s="549">
        <v>14.6</v>
      </c>
    </row>
    <row r="195" spans="2:52" s="225" customFormat="1" ht="15" customHeight="1" x14ac:dyDescent="0.3">
      <c r="B195" s="364" t="s">
        <v>583</v>
      </c>
      <c r="C195" s="548"/>
      <c r="D195" s="548"/>
      <c r="E195" s="548"/>
      <c r="F195" s="548"/>
      <c r="G195" s="548"/>
      <c r="H195" s="548"/>
      <c r="I195" s="548"/>
      <c r="J195" s="548"/>
      <c r="K195" s="548"/>
      <c r="L195" s="548"/>
      <c r="M195" s="548"/>
      <c r="N195" s="548"/>
      <c r="O195" s="548"/>
      <c r="P195" s="548"/>
      <c r="Q195" s="548"/>
      <c r="R195" s="548"/>
      <c r="S195" s="548"/>
      <c r="T195" s="321">
        <v>48</v>
      </c>
      <c r="U195" s="321">
        <f>T197</f>
        <v>56.5</v>
      </c>
      <c r="V195" s="549">
        <v>48</v>
      </c>
      <c r="W195" s="321">
        <v>69.8</v>
      </c>
      <c r="X195" s="321">
        <f>W197</f>
        <v>64.400000000000006</v>
      </c>
      <c r="Y195" s="549">
        <v>69.8</v>
      </c>
      <c r="Z195" s="321">
        <v>62.9</v>
      </c>
      <c r="AA195" s="321">
        <f>Z197</f>
        <v>114</v>
      </c>
      <c r="AB195" s="549">
        <v>62.9</v>
      </c>
      <c r="AC195" s="321">
        <v>112</v>
      </c>
      <c r="AD195" s="321">
        <f>AC197</f>
        <v>114.5</v>
      </c>
      <c r="AE195" s="549">
        <v>112</v>
      </c>
      <c r="AF195" s="321">
        <v>122.9</v>
      </c>
      <c r="AG195" s="321">
        <f>AF197</f>
        <v>117.5</v>
      </c>
      <c r="AH195" s="549">
        <v>122.9</v>
      </c>
      <c r="AI195" s="321">
        <f>AG197</f>
        <v>129.70000000000002</v>
      </c>
      <c r="AJ195" s="321">
        <f>AI197</f>
        <v>103.20000000000002</v>
      </c>
      <c r="AK195" s="549">
        <f>AI195</f>
        <v>129.70000000000002</v>
      </c>
      <c r="AL195" s="321">
        <f>AJ197</f>
        <v>484.70000000000005</v>
      </c>
      <c r="AM195" s="321">
        <f>AL197</f>
        <v>393.40000000000009</v>
      </c>
      <c r="AN195" s="549">
        <f>AL195</f>
        <v>484.70000000000005</v>
      </c>
      <c r="AO195" s="321">
        <f>AM197</f>
        <v>410.80000000000013</v>
      </c>
      <c r="AP195" s="321">
        <f>AO197</f>
        <v>237.10000000000011</v>
      </c>
      <c r="AQ195" s="549">
        <f>AO195</f>
        <v>410.80000000000013</v>
      </c>
      <c r="AR195" s="321">
        <v>296.2</v>
      </c>
      <c r="AS195" s="321">
        <f>AR197</f>
        <v>191.39999999999998</v>
      </c>
      <c r="AT195" s="549">
        <f>AR195</f>
        <v>296.2</v>
      </c>
      <c r="AU195" s="321">
        <f>AT197</f>
        <v>145.6</v>
      </c>
      <c r="AV195" s="321">
        <v>151.9</v>
      </c>
      <c r="AW195" s="549">
        <v>145.6</v>
      </c>
      <c r="AX195" s="321">
        <v>121.8</v>
      </c>
      <c r="AY195" s="321">
        <v>154</v>
      </c>
      <c r="AZ195" s="549">
        <v>121.8</v>
      </c>
    </row>
    <row r="196" spans="2:52" s="225" customFormat="1" ht="15" customHeight="1" thickBot="1" x14ac:dyDescent="0.35">
      <c r="B196" s="552" t="s">
        <v>79</v>
      </c>
      <c r="C196" s="542"/>
      <c r="D196" s="542"/>
      <c r="E196" s="542"/>
      <c r="F196" s="542"/>
      <c r="G196" s="542"/>
      <c r="H196" s="542"/>
      <c r="I196" s="542"/>
      <c r="J196" s="542"/>
      <c r="K196" s="542"/>
      <c r="L196" s="542"/>
      <c r="M196" s="542"/>
      <c r="N196" s="542"/>
      <c r="O196" s="542"/>
      <c r="P196" s="542"/>
      <c r="Q196" s="542"/>
      <c r="R196" s="542"/>
      <c r="S196" s="542"/>
      <c r="T196" s="131">
        <v>-2.5</v>
      </c>
      <c r="U196" s="131">
        <f>V196-T196</f>
        <v>-7.1</v>
      </c>
      <c r="V196" s="235">
        <v>-9.6</v>
      </c>
      <c r="W196" s="131">
        <v>3.3</v>
      </c>
      <c r="X196" s="131">
        <f>Y196-W196</f>
        <v>17.899999999999999</v>
      </c>
      <c r="Y196" s="235">
        <v>21.2</v>
      </c>
      <c r="Z196" s="131">
        <v>4.5</v>
      </c>
      <c r="AA196" s="131">
        <f>AB196-Z196</f>
        <v>1.2999999999999998</v>
      </c>
      <c r="AB196" s="235">
        <v>5.8</v>
      </c>
      <c r="AC196" s="131">
        <v>-1.3</v>
      </c>
      <c r="AD196" s="131">
        <f>AE196-AC196</f>
        <v>-0.8</v>
      </c>
      <c r="AE196" s="235">
        <v>-2.1</v>
      </c>
      <c r="AF196" s="131">
        <v>0.8</v>
      </c>
      <c r="AG196" s="131">
        <f>AH196-AF196</f>
        <v>9.9999999999999978E-2</v>
      </c>
      <c r="AH196" s="235">
        <v>0.9</v>
      </c>
      <c r="AI196" s="131">
        <v>-5</v>
      </c>
      <c r="AJ196" s="131">
        <f>AK196-AI196</f>
        <v>4.5</v>
      </c>
      <c r="AK196" s="235">
        <v>-0.5</v>
      </c>
      <c r="AL196" s="131">
        <v>-1.4</v>
      </c>
      <c r="AM196" s="131">
        <f>AN196-AL196</f>
        <v>-2.4</v>
      </c>
      <c r="AN196" s="235">
        <v>-3.8</v>
      </c>
      <c r="AO196" s="131">
        <v>-0.4</v>
      </c>
      <c r="AP196" s="131">
        <f>AQ196-AO196</f>
        <v>8.6</v>
      </c>
      <c r="AQ196" s="235">
        <v>8.1999999999999993</v>
      </c>
      <c r="AR196" s="131">
        <v>2</v>
      </c>
      <c r="AS196" s="131">
        <v>-5.8</v>
      </c>
      <c r="AT196" s="235">
        <f>SUM(AR196:AS196)</f>
        <v>-3.8</v>
      </c>
      <c r="AU196" s="131">
        <v>4</v>
      </c>
      <c r="AV196" s="131">
        <f t="shared" si="472"/>
        <v>-4.5999999999999996</v>
      </c>
      <c r="AW196" s="235">
        <v>-0.6</v>
      </c>
      <c r="AX196" s="131">
        <v>-3.9</v>
      </c>
      <c r="AY196" s="131">
        <f t="shared" si="473"/>
        <v>-0.50000000000000044</v>
      </c>
      <c r="AZ196" s="235">
        <v>-4.4000000000000004</v>
      </c>
    </row>
    <row r="197" spans="2:52" s="225" customFormat="1" ht="15" customHeight="1" thickBot="1" x14ac:dyDescent="0.35">
      <c r="B197" s="363" t="s">
        <v>80</v>
      </c>
      <c r="C197" s="556"/>
      <c r="D197" s="556"/>
      <c r="E197" s="556"/>
      <c r="F197" s="556"/>
      <c r="G197" s="556"/>
      <c r="H197" s="556"/>
      <c r="I197" s="556"/>
      <c r="J197" s="556"/>
      <c r="K197" s="556"/>
      <c r="L197" s="556"/>
      <c r="M197" s="556"/>
      <c r="N197" s="556"/>
      <c r="O197" s="556"/>
      <c r="P197" s="556"/>
      <c r="Q197" s="556"/>
      <c r="R197" s="556"/>
      <c r="S197" s="556"/>
      <c r="T197" s="322">
        <v>56.5</v>
      </c>
      <c r="U197" s="322">
        <f>SUM(U194:U196)</f>
        <v>69.799999999999983</v>
      </c>
      <c r="V197" s="547">
        <v>69.8</v>
      </c>
      <c r="W197" s="322">
        <v>64.400000000000006</v>
      </c>
      <c r="X197" s="322">
        <f>SUM(X194:X196)</f>
        <v>62.9</v>
      </c>
      <c r="Y197" s="547">
        <v>62.9</v>
      </c>
      <c r="Z197" s="322">
        <v>114</v>
      </c>
      <c r="AA197" s="322">
        <f>SUM(AA194:AA196)</f>
        <v>111.99999999999999</v>
      </c>
      <c r="AB197" s="547">
        <v>112</v>
      </c>
      <c r="AC197" s="322">
        <v>114.5</v>
      </c>
      <c r="AD197" s="322">
        <f>SUM(AD194:AD196)</f>
        <v>122.9</v>
      </c>
      <c r="AE197" s="547">
        <v>122.9</v>
      </c>
      <c r="AF197" s="322">
        <v>117.5</v>
      </c>
      <c r="AG197" s="322">
        <f>SUM(AG194:AG196)</f>
        <v>129.70000000000002</v>
      </c>
      <c r="AH197" s="547">
        <v>129.69999999999999</v>
      </c>
      <c r="AI197" s="322">
        <f t="shared" ref="AI197:AN197" si="497">SUM(AI194:AI196)</f>
        <v>103.20000000000002</v>
      </c>
      <c r="AJ197" s="322">
        <f t="shared" si="497"/>
        <v>484.70000000000005</v>
      </c>
      <c r="AK197" s="547">
        <f t="shared" si="497"/>
        <v>484.5</v>
      </c>
      <c r="AL197" s="322">
        <f t="shared" si="497"/>
        <v>393.40000000000009</v>
      </c>
      <c r="AM197" s="322">
        <f t="shared" si="497"/>
        <v>410.80000000000013</v>
      </c>
      <c r="AN197" s="547">
        <f t="shared" si="497"/>
        <v>410.8</v>
      </c>
      <c r="AO197" s="322">
        <f t="shared" ref="AO197:AU197" si="498">SUM(AO194:AO196)</f>
        <v>237.10000000000011</v>
      </c>
      <c r="AP197" s="322">
        <f t="shared" si="498"/>
        <v>296.40000000000009</v>
      </c>
      <c r="AQ197" s="547">
        <f>SUM(AQ194:AQ196)</f>
        <v>296.40000000000015</v>
      </c>
      <c r="AR197" s="322">
        <f t="shared" si="498"/>
        <v>191.39999999999998</v>
      </c>
      <c r="AS197" s="322">
        <f t="shared" si="498"/>
        <v>145.6</v>
      </c>
      <c r="AT197" s="547">
        <f t="shared" si="498"/>
        <v>145.6</v>
      </c>
      <c r="AU197" s="322">
        <f t="shared" si="498"/>
        <v>151.90000000000003</v>
      </c>
      <c r="AV197" s="322">
        <f t="shared" si="472"/>
        <v>-30.100000000000037</v>
      </c>
      <c r="AW197" s="547">
        <v>121.8</v>
      </c>
      <c r="AX197" s="322">
        <f>SUM(AX194:AX196)</f>
        <v>154</v>
      </c>
      <c r="AY197" s="322">
        <f t="shared" si="473"/>
        <v>-22</v>
      </c>
      <c r="AZ197" s="547">
        <f>SUM(AZ194:AZ196)</f>
        <v>132</v>
      </c>
    </row>
    <row r="198" spans="2:52" s="225" customFormat="1" ht="15" customHeight="1" x14ac:dyDescent="0.3">
      <c r="B198" s="557"/>
      <c r="C198" s="557"/>
      <c r="D198" s="557"/>
      <c r="E198" s="557"/>
      <c r="F198" s="557"/>
      <c r="G198" s="557"/>
      <c r="H198" s="557"/>
      <c r="I198" s="557"/>
      <c r="J198" s="557"/>
      <c r="K198" s="557"/>
      <c r="L198" s="557"/>
      <c r="M198" s="557"/>
      <c r="N198" s="557"/>
      <c r="O198" s="557"/>
      <c r="P198" s="557"/>
      <c r="Q198" s="557"/>
      <c r="R198" s="557"/>
      <c r="S198" s="557"/>
      <c r="T198" s="332"/>
      <c r="U198" s="332"/>
      <c r="V198" s="555"/>
      <c r="W198" s="332"/>
      <c r="X198" s="332"/>
      <c r="Y198" s="555"/>
      <c r="Z198" s="332"/>
      <c r="AA198" s="332"/>
      <c r="AB198" s="555"/>
      <c r="AC198" s="332"/>
      <c r="AD198" s="332"/>
      <c r="AE198" s="555"/>
      <c r="AF198" s="332"/>
      <c r="AG198" s="332"/>
      <c r="AH198" s="555"/>
      <c r="AI198" s="332"/>
      <c r="AJ198" s="332"/>
      <c r="AK198" s="555"/>
      <c r="AL198" s="30"/>
      <c r="AM198" s="30"/>
      <c r="AN198" s="555"/>
      <c r="AO198" s="30"/>
      <c r="AP198" s="30"/>
      <c r="AQ198" s="555"/>
      <c r="AR198" s="30"/>
      <c r="AS198" s="30"/>
      <c r="AT198" s="555"/>
      <c r="AU198" s="30"/>
      <c r="AV198" s="30"/>
      <c r="AW198" s="555"/>
      <c r="AX198" s="30"/>
      <c r="AY198" s="30"/>
      <c r="AZ198" s="555"/>
    </row>
    <row r="199" spans="2:52" s="225" customFormat="1" ht="15" customHeight="1" thickBot="1" x14ac:dyDescent="0.35">
      <c r="B199" s="558" t="s">
        <v>81</v>
      </c>
      <c r="C199" s="559"/>
      <c r="D199" s="559"/>
      <c r="E199" s="559"/>
      <c r="F199" s="559"/>
      <c r="G199" s="559"/>
      <c r="H199" s="559"/>
      <c r="I199" s="559"/>
      <c r="J199" s="559"/>
      <c r="K199" s="559"/>
      <c r="L199" s="559"/>
      <c r="M199" s="559"/>
      <c r="N199" s="559"/>
      <c r="O199" s="559"/>
      <c r="P199" s="559"/>
      <c r="Q199" s="559"/>
      <c r="R199" s="559"/>
      <c r="S199" s="559"/>
      <c r="T199" s="332"/>
      <c r="U199" s="332"/>
      <c r="V199" s="555"/>
      <c r="W199" s="332"/>
      <c r="X199" s="332"/>
      <c r="Y199" s="555"/>
      <c r="Z199" s="332"/>
      <c r="AA199" s="332"/>
      <c r="AB199" s="555"/>
      <c r="AC199" s="332"/>
      <c r="AD199" s="332"/>
      <c r="AE199" s="555"/>
      <c r="AF199" s="332"/>
      <c r="AG199" s="332"/>
      <c r="AH199" s="555"/>
      <c r="AI199" s="332"/>
      <c r="AJ199" s="332"/>
      <c r="AK199" s="555"/>
      <c r="AL199" s="30"/>
      <c r="AM199" s="30"/>
      <c r="AN199" s="555"/>
      <c r="AO199" s="30"/>
      <c r="AP199" s="30"/>
      <c r="AQ199" s="555"/>
      <c r="AR199" s="30"/>
      <c r="AS199" s="30"/>
      <c r="AT199" s="555"/>
      <c r="AU199" s="30"/>
      <c r="AV199" s="30"/>
      <c r="AW199" s="555"/>
      <c r="AX199" s="30"/>
      <c r="AY199" s="30"/>
      <c r="AZ199" s="555"/>
    </row>
    <row r="200" spans="2:52" s="225" customFormat="1" ht="15" customHeight="1" x14ac:dyDescent="0.3">
      <c r="B200" s="361" t="s">
        <v>584</v>
      </c>
      <c r="C200" s="560"/>
      <c r="D200" s="560"/>
      <c r="E200" s="560"/>
      <c r="F200" s="560"/>
      <c r="G200" s="560"/>
      <c r="H200" s="560"/>
      <c r="I200" s="560"/>
      <c r="J200" s="560"/>
      <c r="K200" s="560"/>
      <c r="L200" s="560"/>
      <c r="M200" s="560"/>
      <c r="N200" s="560"/>
      <c r="O200" s="560"/>
      <c r="P200" s="560"/>
      <c r="Q200" s="560"/>
      <c r="R200" s="560"/>
      <c r="S200" s="560"/>
      <c r="T200" s="331">
        <v>-110.7</v>
      </c>
      <c r="U200" s="331">
        <f>T203</f>
        <v>-135.69999999999999</v>
      </c>
      <c r="V200" s="561">
        <f>T200</f>
        <v>-110.7</v>
      </c>
      <c r="W200" s="331">
        <v>-100.5</v>
      </c>
      <c r="X200" s="331">
        <f>W203</f>
        <v>-120.5</v>
      </c>
      <c r="Y200" s="561">
        <v>-100.5</v>
      </c>
      <c r="Z200" s="331">
        <v>-26.1</v>
      </c>
      <c r="AA200" s="331">
        <f>Z203</f>
        <v>-66.099999999999994</v>
      </c>
      <c r="AB200" s="561">
        <f>Y203</f>
        <v>-26.1</v>
      </c>
      <c r="AC200" s="331">
        <v>-0.4</v>
      </c>
      <c r="AD200" s="331">
        <f>AC203</f>
        <v>-80</v>
      </c>
      <c r="AE200" s="561">
        <f>AB203</f>
        <v>-0.4</v>
      </c>
      <c r="AF200" s="331">
        <f>AE203</f>
        <v>0</v>
      </c>
      <c r="AG200" s="331">
        <f>AF203</f>
        <v>-85</v>
      </c>
      <c r="AH200" s="561">
        <f>AE203</f>
        <v>0</v>
      </c>
      <c r="AI200" s="331">
        <f>AH203</f>
        <v>0</v>
      </c>
      <c r="AJ200" s="331">
        <f>AI203</f>
        <v>-90</v>
      </c>
      <c r="AK200" s="561">
        <v>0</v>
      </c>
      <c r="AL200" s="331">
        <f>AK203</f>
        <v>0</v>
      </c>
      <c r="AM200" s="331">
        <v>0</v>
      </c>
      <c r="AN200" s="561">
        <v>0</v>
      </c>
      <c r="AO200" s="331">
        <f>AN203</f>
        <v>0</v>
      </c>
      <c r="AP200" s="331">
        <v>0</v>
      </c>
      <c r="AQ200" s="561">
        <v>0</v>
      </c>
      <c r="AR200" s="331">
        <f>AQ203</f>
        <v>0</v>
      </c>
      <c r="AS200" s="331">
        <v>0</v>
      </c>
      <c r="AT200" s="561">
        <v>0</v>
      </c>
      <c r="AU200" s="331">
        <v>-10</v>
      </c>
      <c r="AV200" s="331">
        <v>-85</v>
      </c>
      <c r="AW200" s="561">
        <v>-10</v>
      </c>
      <c r="AX200" s="331">
        <v>-65</v>
      </c>
      <c r="AY200" s="331">
        <v>-85</v>
      </c>
      <c r="AZ200" s="561">
        <v>-65</v>
      </c>
    </row>
    <row r="201" spans="2:52" s="225" customFormat="1" ht="15" customHeight="1" x14ac:dyDescent="0.3">
      <c r="B201" s="362" t="s">
        <v>741</v>
      </c>
      <c r="C201" s="542"/>
      <c r="D201" s="542"/>
      <c r="E201" s="542"/>
      <c r="F201" s="542"/>
      <c r="G201" s="542"/>
      <c r="H201" s="542"/>
      <c r="I201" s="542"/>
      <c r="J201" s="542"/>
      <c r="K201" s="542"/>
      <c r="L201" s="542"/>
      <c r="M201" s="542"/>
      <c r="N201" s="542"/>
      <c r="O201" s="542"/>
      <c r="P201" s="542"/>
      <c r="Q201" s="542"/>
      <c r="R201" s="542"/>
      <c r="S201" s="542"/>
      <c r="T201" s="131">
        <v>-25</v>
      </c>
      <c r="U201" s="131">
        <f>V201-T201</f>
        <v>35.200000000000003</v>
      </c>
      <c r="V201" s="235">
        <f>-V187</f>
        <v>10.199999999999999</v>
      </c>
      <c r="W201" s="131">
        <v>-20</v>
      </c>
      <c r="X201" s="131">
        <f>Y201-W201</f>
        <v>94.4</v>
      </c>
      <c r="Y201" s="235">
        <v>74.400000000000006</v>
      </c>
      <c r="Z201" s="131">
        <v>-40</v>
      </c>
      <c r="AA201" s="131">
        <f>AB201-Z201</f>
        <v>65.8</v>
      </c>
      <c r="AB201" s="235">
        <v>25.8</v>
      </c>
      <c r="AC201" s="131">
        <v>-79.599999999999994</v>
      </c>
      <c r="AD201" s="131">
        <f>AE201-AC201</f>
        <v>80</v>
      </c>
      <c r="AE201" s="235">
        <v>0.4</v>
      </c>
      <c r="AF201" s="131">
        <v>-85</v>
      </c>
      <c r="AG201" s="131">
        <f>AH201-AF201</f>
        <v>85</v>
      </c>
      <c r="AH201" s="235">
        <v>0</v>
      </c>
      <c r="AI201" s="131">
        <v>-90</v>
      </c>
      <c r="AJ201" s="131">
        <f>AK201-AI201</f>
        <v>90</v>
      </c>
      <c r="AK201" s="235">
        <v>0</v>
      </c>
      <c r="AL201" s="131" t="s">
        <v>3</v>
      </c>
      <c r="AM201" s="131" t="s">
        <v>3</v>
      </c>
      <c r="AN201" s="235">
        <v>0</v>
      </c>
      <c r="AO201" s="131" t="s">
        <v>3</v>
      </c>
      <c r="AP201" s="131" t="s">
        <v>3</v>
      </c>
      <c r="AQ201" s="235">
        <v>0</v>
      </c>
      <c r="AR201" s="131">
        <v>-90</v>
      </c>
      <c r="AS201" s="131">
        <v>80</v>
      </c>
      <c r="AT201" s="235">
        <v>-10</v>
      </c>
      <c r="AU201" s="131">
        <v>-75</v>
      </c>
      <c r="AV201" s="131">
        <v>20</v>
      </c>
      <c r="AW201" s="235">
        <v>-55</v>
      </c>
      <c r="AX201" s="131">
        <v>-60</v>
      </c>
      <c r="AY201" s="131">
        <v>20</v>
      </c>
      <c r="AZ201" s="235">
        <v>-30</v>
      </c>
    </row>
    <row r="202" spans="2:52" s="225" customFormat="1" ht="15" customHeight="1" thickBot="1" x14ac:dyDescent="0.35">
      <c r="B202" s="552" t="s">
        <v>79</v>
      </c>
      <c r="C202" s="542"/>
      <c r="D202" s="542"/>
      <c r="E202" s="542"/>
      <c r="F202" s="542"/>
      <c r="G202" s="542"/>
      <c r="H202" s="542"/>
      <c r="I202" s="542"/>
      <c r="J202" s="542"/>
      <c r="K202" s="542"/>
      <c r="L202" s="542"/>
      <c r="M202" s="542"/>
      <c r="N202" s="542"/>
      <c r="O202" s="542"/>
      <c r="P202" s="542"/>
      <c r="Q202" s="542"/>
      <c r="R202" s="542"/>
      <c r="S202" s="542"/>
      <c r="T202" s="131" t="s">
        <v>3</v>
      </c>
      <c r="U202" s="131" t="s">
        <v>3</v>
      </c>
      <c r="V202" s="235" t="s">
        <v>3</v>
      </c>
      <c r="W202" s="131" t="s">
        <v>3</v>
      </c>
      <c r="X202" s="131" t="s">
        <v>3</v>
      </c>
      <c r="Y202" s="235" t="s">
        <v>3</v>
      </c>
      <c r="Z202" s="131" t="s">
        <v>3</v>
      </c>
      <c r="AA202" s="131">
        <v>-0.1</v>
      </c>
      <c r="AB202" s="235">
        <v>-0.1</v>
      </c>
      <c r="AC202" s="131" t="s">
        <v>3</v>
      </c>
      <c r="AD202" s="131" t="s">
        <v>3</v>
      </c>
      <c r="AE202" s="235" t="s">
        <v>3</v>
      </c>
      <c r="AF202" s="131" t="s">
        <v>3</v>
      </c>
      <c r="AG202" s="131" t="s">
        <v>3</v>
      </c>
      <c r="AH202" s="235" t="s">
        <v>3</v>
      </c>
      <c r="AI202" s="131" t="s">
        <v>3</v>
      </c>
      <c r="AJ202" s="131" t="s">
        <v>3</v>
      </c>
      <c r="AK202" s="235" t="s">
        <v>3</v>
      </c>
      <c r="AL202" s="131" t="s">
        <v>3</v>
      </c>
      <c r="AM202" s="131" t="s">
        <v>3</v>
      </c>
      <c r="AN202" s="235" t="s">
        <v>3</v>
      </c>
      <c r="AO202" s="131" t="s">
        <v>3</v>
      </c>
      <c r="AP202" s="131" t="s">
        <v>3</v>
      </c>
      <c r="AQ202" s="235" t="s">
        <v>3</v>
      </c>
      <c r="AR202" s="131">
        <v>0</v>
      </c>
      <c r="AS202" s="131">
        <v>0</v>
      </c>
      <c r="AT202" s="235">
        <v>0</v>
      </c>
      <c r="AU202" s="131">
        <v>0</v>
      </c>
      <c r="AV202" s="131">
        <v>0</v>
      </c>
      <c r="AW202" s="235">
        <v>0</v>
      </c>
      <c r="AX202" s="131">
        <v>0</v>
      </c>
      <c r="AY202" s="131">
        <v>0</v>
      </c>
      <c r="AZ202" s="235">
        <v>0</v>
      </c>
    </row>
    <row r="203" spans="2:52" s="225" customFormat="1" ht="15" customHeight="1" thickBot="1" x14ac:dyDescent="0.35">
      <c r="B203" s="544" t="s">
        <v>742</v>
      </c>
      <c r="C203" s="545"/>
      <c r="D203" s="545"/>
      <c r="E203" s="545"/>
      <c r="F203" s="545"/>
      <c r="G203" s="545"/>
      <c r="H203" s="545"/>
      <c r="I203" s="545"/>
      <c r="J203" s="545"/>
      <c r="K203" s="545"/>
      <c r="L203" s="545"/>
      <c r="M203" s="545"/>
      <c r="N203" s="545"/>
      <c r="O203" s="545"/>
      <c r="P203" s="545"/>
      <c r="Q203" s="545"/>
      <c r="R203" s="545"/>
      <c r="S203" s="545"/>
      <c r="T203" s="322">
        <v>-135.69999999999999</v>
      </c>
      <c r="U203" s="322">
        <f>SUM(U200:U202)</f>
        <v>-100.49999999999999</v>
      </c>
      <c r="V203" s="547">
        <f>SUM(V200:V202)</f>
        <v>-100.5</v>
      </c>
      <c r="W203" s="322">
        <f>SUM(W200:W202)</f>
        <v>-120.5</v>
      </c>
      <c r="X203" s="322">
        <f>SUM(X200:X202)</f>
        <v>-26.099999999999994</v>
      </c>
      <c r="Y203" s="547">
        <v>-26.1</v>
      </c>
      <c r="Z203" s="322">
        <f>SUM(Z200:Z202)</f>
        <v>-66.099999999999994</v>
      </c>
      <c r="AA203" s="322">
        <f>SUM(AA200:AA202)</f>
        <v>-0.39999999999999714</v>
      </c>
      <c r="AB203" s="547">
        <v>-0.4</v>
      </c>
      <c r="AC203" s="322">
        <f>SUM(AC200:AC202)</f>
        <v>-80</v>
      </c>
      <c r="AD203" s="322">
        <f>SUM(AD200:AD202)</f>
        <v>0</v>
      </c>
      <c r="AE203" s="547">
        <v>0</v>
      </c>
      <c r="AF203" s="322">
        <f t="shared" ref="AF203:AK203" si="499">SUM(AF200:AF202)</f>
        <v>-85</v>
      </c>
      <c r="AG203" s="322">
        <f t="shared" si="499"/>
        <v>0</v>
      </c>
      <c r="AH203" s="547">
        <f t="shared" si="499"/>
        <v>0</v>
      </c>
      <c r="AI203" s="322">
        <f t="shared" si="499"/>
        <v>-90</v>
      </c>
      <c r="AJ203" s="322">
        <f t="shared" si="499"/>
        <v>0</v>
      </c>
      <c r="AK203" s="547">
        <f t="shared" si="499"/>
        <v>0</v>
      </c>
      <c r="AL203" s="322">
        <f t="shared" ref="AL203" si="500">SUM(AL200:AL202)</f>
        <v>0</v>
      </c>
      <c r="AM203" s="322">
        <v>0</v>
      </c>
      <c r="AN203" s="547">
        <f t="shared" ref="AN203:AO203" si="501">SUM(AN200:AN202)</f>
        <v>0</v>
      </c>
      <c r="AO203" s="322">
        <f t="shared" si="501"/>
        <v>0</v>
      </c>
      <c r="AP203" s="322">
        <v>0</v>
      </c>
      <c r="AQ203" s="547">
        <f t="shared" ref="AQ203:AT203" si="502">SUM(AQ200:AQ202)</f>
        <v>0</v>
      </c>
      <c r="AR203" s="322">
        <f t="shared" si="502"/>
        <v>-90</v>
      </c>
      <c r="AS203" s="322">
        <f t="shared" si="502"/>
        <v>80</v>
      </c>
      <c r="AT203" s="547">
        <f t="shared" si="502"/>
        <v>-10</v>
      </c>
      <c r="AU203" s="322">
        <v>-85</v>
      </c>
      <c r="AV203" s="322">
        <v>-65</v>
      </c>
      <c r="AW203" s="547">
        <v>-65</v>
      </c>
      <c r="AX203" s="322">
        <v>-125</v>
      </c>
      <c r="AY203" s="322">
        <v>30</v>
      </c>
      <c r="AZ203" s="547">
        <v>-95</v>
      </c>
    </row>
    <row r="204" spans="2:52" s="225" customFormat="1" ht="15" customHeight="1" thickBot="1" x14ac:dyDescent="0.35">
      <c r="B204" s="363" t="s">
        <v>743</v>
      </c>
      <c r="C204" s="562"/>
      <c r="D204" s="562"/>
      <c r="E204" s="562"/>
      <c r="F204" s="562"/>
      <c r="G204" s="562"/>
      <c r="H204" s="562"/>
      <c r="I204" s="562"/>
      <c r="J204" s="562"/>
      <c r="K204" s="562"/>
      <c r="L204" s="562"/>
      <c r="M204" s="562"/>
      <c r="N204" s="562"/>
      <c r="O204" s="562"/>
      <c r="P204" s="562"/>
      <c r="Q204" s="562"/>
      <c r="R204" s="562"/>
      <c r="S204" s="562"/>
      <c r="T204" s="325">
        <v>-79.2</v>
      </c>
      <c r="U204" s="325">
        <f>SUM(U197,U203)</f>
        <v>-30.700000000000003</v>
      </c>
      <c r="V204" s="563">
        <f>SUM(V197,V203)</f>
        <v>-30.700000000000003</v>
      </c>
      <c r="W204" s="325">
        <f>SUM(W197,W203)</f>
        <v>-56.099999999999994</v>
      </c>
      <c r="X204" s="325">
        <f>SUM(X197,X203)</f>
        <v>36.800000000000004</v>
      </c>
      <c r="Y204" s="563">
        <v>36.799999999999997</v>
      </c>
      <c r="Z204" s="325">
        <f>SUM(Z197,Z203)</f>
        <v>47.900000000000006</v>
      </c>
      <c r="AA204" s="325">
        <f>SUM(AA197,AA203)</f>
        <v>111.6</v>
      </c>
      <c r="AB204" s="563">
        <v>111.6</v>
      </c>
      <c r="AC204" s="325">
        <f>SUM(AC197,AC203)</f>
        <v>34.5</v>
      </c>
      <c r="AD204" s="325">
        <f>SUM(AD197,AD203)</f>
        <v>122.9</v>
      </c>
      <c r="AE204" s="563">
        <v>122.9</v>
      </c>
      <c r="AF204" s="325">
        <f t="shared" ref="AF204:AM204" si="503">SUM(AF197,AF203)</f>
        <v>32.5</v>
      </c>
      <c r="AG204" s="325">
        <f t="shared" si="503"/>
        <v>129.70000000000002</v>
      </c>
      <c r="AH204" s="563">
        <f t="shared" si="503"/>
        <v>129.69999999999999</v>
      </c>
      <c r="AI204" s="325">
        <f t="shared" si="503"/>
        <v>13.200000000000017</v>
      </c>
      <c r="AJ204" s="325">
        <f t="shared" si="503"/>
        <v>484.70000000000005</v>
      </c>
      <c r="AK204" s="563">
        <f t="shared" si="503"/>
        <v>484.5</v>
      </c>
      <c r="AL204" s="325">
        <f t="shared" ref="AL204" si="504">SUM(AL197,AL203)</f>
        <v>393.40000000000009</v>
      </c>
      <c r="AM204" s="325">
        <f t="shared" si="503"/>
        <v>410.80000000000013</v>
      </c>
      <c r="AN204" s="563">
        <f t="shared" ref="AN204:AV204" si="505">SUM(AN197,AN203)</f>
        <v>410.8</v>
      </c>
      <c r="AO204" s="325">
        <f t="shared" si="505"/>
        <v>237.10000000000011</v>
      </c>
      <c r="AP204" s="325">
        <f t="shared" si="505"/>
        <v>296.40000000000009</v>
      </c>
      <c r="AQ204" s="563">
        <f t="shared" ref="AQ204" si="506">SUM(AQ197,AQ203)</f>
        <v>296.40000000000015</v>
      </c>
      <c r="AR204" s="325">
        <f t="shared" si="505"/>
        <v>101.39999999999998</v>
      </c>
      <c r="AS204" s="325">
        <f t="shared" si="505"/>
        <v>225.6</v>
      </c>
      <c r="AT204" s="563">
        <f t="shared" si="505"/>
        <v>135.6</v>
      </c>
      <c r="AU204" s="325">
        <f t="shared" si="505"/>
        <v>66.900000000000034</v>
      </c>
      <c r="AV204" s="325">
        <v>56.8</v>
      </c>
      <c r="AW204" s="563">
        <f>AW197+AW203</f>
        <v>56.8</v>
      </c>
      <c r="AX204" s="325">
        <f>AX197+AX203</f>
        <v>29</v>
      </c>
      <c r="AY204" s="325">
        <f>AY197+AY203</f>
        <v>8</v>
      </c>
      <c r="AZ204" s="563">
        <f>AZ197+AZ203</f>
        <v>37</v>
      </c>
    </row>
    <row r="205" spans="2:52" s="225" customFormat="1" ht="15" customHeight="1" x14ac:dyDescent="0.3">
      <c r="T205" s="332"/>
      <c r="U205" s="332"/>
      <c r="V205" s="564"/>
      <c r="W205" s="332"/>
      <c r="X205" s="332"/>
      <c r="Y205" s="564"/>
      <c r="Z205" s="332"/>
      <c r="AA205" s="332"/>
      <c r="AB205" s="564"/>
      <c r="AC205" s="332"/>
      <c r="AD205" s="332"/>
      <c r="AE205" s="564"/>
      <c r="AF205" s="332"/>
      <c r="AG205" s="565"/>
      <c r="AH205" s="564"/>
      <c r="AI205" s="332"/>
      <c r="AK205" s="564"/>
      <c r="AL205" s="30"/>
      <c r="AN205" s="564"/>
      <c r="AO205" s="30"/>
      <c r="AQ205" s="564"/>
      <c r="AR205" s="30"/>
      <c r="AT205" s="564"/>
      <c r="AU205" s="30"/>
      <c r="AW205" s="564"/>
      <c r="AX205" s="30"/>
      <c r="AZ205" s="564"/>
    </row>
    <row r="206" spans="2:52" s="225" customFormat="1" ht="15" customHeight="1" x14ac:dyDescent="0.3">
      <c r="T206" s="332"/>
      <c r="U206" s="332"/>
      <c r="V206" s="564"/>
      <c r="W206" s="332"/>
      <c r="X206" s="332"/>
      <c r="Y206" s="564"/>
      <c r="Z206" s="332"/>
      <c r="AA206" s="332"/>
      <c r="AB206" s="564"/>
      <c r="AC206" s="332"/>
      <c r="AD206" s="332"/>
      <c r="AE206" s="564"/>
      <c r="AF206" s="332"/>
      <c r="AG206" s="565"/>
      <c r="AH206" s="564"/>
      <c r="AI206" s="332"/>
      <c r="AK206" s="564"/>
      <c r="AL206" s="30"/>
      <c r="AN206" s="564"/>
      <c r="AO206" s="30"/>
      <c r="AQ206" s="564"/>
      <c r="AR206" s="30"/>
      <c r="AT206" s="564"/>
      <c r="AU206" s="30"/>
      <c r="AW206" s="564"/>
      <c r="AX206" s="30"/>
      <c r="AZ206" s="564"/>
    </row>
    <row r="207" spans="2:52" s="401" customFormat="1" ht="15" customHeight="1" x14ac:dyDescent="0.35">
      <c r="B207" s="400" t="s">
        <v>151</v>
      </c>
      <c r="T207" s="402" t="str">
        <f t="shared" ref="T207:AQ207" si="507">T$5</f>
        <v>H1 15</v>
      </c>
      <c r="U207" s="423"/>
      <c r="V207" s="403" t="str">
        <f t="shared" si="507"/>
        <v>FY15</v>
      </c>
      <c r="W207" s="402" t="str">
        <f t="shared" si="507"/>
        <v>H1 16</v>
      </c>
      <c r="X207" s="423"/>
      <c r="Y207" s="403" t="str">
        <f t="shared" si="507"/>
        <v>FY16</v>
      </c>
      <c r="Z207" s="402" t="str">
        <f t="shared" si="507"/>
        <v>H1 17</v>
      </c>
      <c r="AA207" s="423"/>
      <c r="AB207" s="403" t="str">
        <f t="shared" si="507"/>
        <v>FY17</v>
      </c>
      <c r="AC207" s="402" t="str">
        <f t="shared" si="507"/>
        <v>H1 18</v>
      </c>
      <c r="AD207" s="423"/>
      <c r="AE207" s="403" t="str">
        <f t="shared" si="507"/>
        <v>FY18</v>
      </c>
      <c r="AF207" s="402" t="str">
        <f t="shared" si="507"/>
        <v>H1 19</v>
      </c>
      <c r="AG207" s="423"/>
      <c r="AH207" s="403" t="str">
        <f t="shared" si="507"/>
        <v>FY19</v>
      </c>
      <c r="AI207" s="402" t="str">
        <f t="shared" si="507"/>
        <v>H1 20</v>
      </c>
      <c r="AJ207" s="423"/>
      <c r="AK207" s="403" t="str">
        <f t="shared" si="507"/>
        <v>FY20</v>
      </c>
      <c r="AL207" s="402" t="str">
        <f t="shared" si="507"/>
        <v>H1 21</v>
      </c>
      <c r="AN207" s="403" t="str">
        <f t="shared" si="507"/>
        <v>FY21</v>
      </c>
      <c r="AO207" s="402" t="str">
        <f t="shared" si="507"/>
        <v>H1 22</v>
      </c>
      <c r="AQ207" s="403" t="str">
        <f t="shared" si="507"/>
        <v>FY22</v>
      </c>
      <c r="AR207" s="402" t="s">
        <v>744</v>
      </c>
      <c r="AT207" s="403" t="s">
        <v>731</v>
      </c>
      <c r="AU207" s="402" t="s">
        <v>746</v>
      </c>
      <c r="AW207" s="403" t="s">
        <v>747</v>
      </c>
      <c r="AX207" s="402" t="s">
        <v>759</v>
      </c>
      <c r="AZ207" s="403" t="s">
        <v>752</v>
      </c>
    </row>
    <row r="208" spans="2:52" s="225" customFormat="1" ht="15" customHeight="1" x14ac:dyDescent="0.3">
      <c r="B208" s="364" t="s">
        <v>4</v>
      </c>
      <c r="C208" s="548"/>
      <c r="D208" s="548"/>
      <c r="E208" s="548"/>
      <c r="F208" s="548"/>
      <c r="G208" s="548"/>
      <c r="H208" s="548"/>
      <c r="I208" s="548"/>
      <c r="J208" s="548"/>
      <c r="K208" s="548"/>
      <c r="L208" s="548"/>
      <c r="M208" s="548"/>
      <c r="N208" s="548"/>
      <c r="O208" s="548"/>
      <c r="P208" s="548"/>
      <c r="Q208" s="548"/>
      <c r="R208" s="548"/>
      <c r="S208" s="548"/>
      <c r="T208" s="334"/>
      <c r="U208" s="334"/>
      <c r="V208" s="633"/>
      <c r="W208" s="334"/>
      <c r="X208" s="334"/>
      <c r="Y208" s="633"/>
      <c r="Z208" s="334"/>
      <c r="AA208" s="334"/>
      <c r="AB208" s="633"/>
      <c r="AC208" s="334"/>
      <c r="AD208" s="334"/>
      <c r="AE208" s="633"/>
      <c r="AF208" s="334"/>
      <c r="AG208" s="565"/>
      <c r="AH208" s="633"/>
      <c r="AI208" s="334"/>
      <c r="AK208" s="633"/>
      <c r="AL208" s="634"/>
      <c r="AN208" s="633"/>
      <c r="AO208" s="634"/>
      <c r="AQ208" s="633"/>
      <c r="AR208" s="634"/>
      <c r="AT208" s="633"/>
      <c r="AU208" s="634"/>
      <c r="AW208" s="633"/>
      <c r="AX208" s="634"/>
      <c r="AZ208" s="633"/>
    </row>
    <row r="209" spans="2:52" s="225" customFormat="1" ht="15" customHeight="1" x14ac:dyDescent="0.3">
      <c r="B209" s="362" t="s">
        <v>5</v>
      </c>
      <c r="C209" s="542"/>
      <c r="D209" s="542"/>
      <c r="E209" s="542"/>
      <c r="F209" s="542"/>
      <c r="G209" s="542"/>
      <c r="H209" s="542"/>
      <c r="I209" s="542"/>
      <c r="J209" s="542"/>
      <c r="K209" s="542"/>
      <c r="L209" s="542"/>
      <c r="M209" s="542"/>
      <c r="N209" s="542"/>
      <c r="O209" s="542"/>
      <c r="P209" s="542"/>
      <c r="Q209" s="542"/>
      <c r="R209" s="542"/>
      <c r="S209" s="542"/>
      <c r="T209" s="131">
        <v>206.2</v>
      </c>
      <c r="U209" s="131"/>
      <c r="V209" s="235">
        <v>198.4</v>
      </c>
      <c r="W209" s="131">
        <v>204.3</v>
      </c>
      <c r="X209" s="131"/>
      <c r="Y209" s="235">
        <v>220.4</v>
      </c>
      <c r="Z209" s="131">
        <v>224.4</v>
      </c>
      <c r="AA209" s="131"/>
      <c r="AB209" s="235">
        <v>223.3</v>
      </c>
      <c r="AC209" s="131">
        <v>221.6</v>
      </c>
      <c r="AD209" s="131"/>
      <c r="AE209" s="235">
        <v>223.2</v>
      </c>
      <c r="AF209" s="131">
        <v>226.7</v>
      </c>
      <c r="AG209" s="131"/>
      <c r="AH209" s="235">
        <v>227.2</v>
      </c>
      <c r="AI209" s="131">
        <v>220.4</v>
      </c>
      <c r="AK209" s="235">
        <v>209</v>
      </c>
      <c r="AL209" s="513">
        <v>204</v>
      </c>
      <c r="AN209" s="235">
        <v>199.9</v>
      </c>
      <c r="AO209" s="513">
        <v>198.8</v>
      </c>
      <c r="AQ209" s="235">
        <v>202.3</v>
      </c>
      <c r="AR209" s="513">
        <v>205.1</v>
      </c>
      <c r="AT209" s="235">
        <v>200.3</v>
      </c>
      <c r="AU209" s="513">
        <v>186.1</v>
      </c>
      <c r="AW209" s="235">
        <v>182.9</v>
      </c>
      <c r="AX209" s="513">
        <v>182</v>
      </c>
      <c r="AZ209" s="235">
        <v>182</v>
      </c>
    </row>
    <row r="210" spans="2:52" s="225" customFormat="1" ht="15" customHeight="1" x14ac:dyDescent="0.3">
      <c r="B210" s="362" t="s">
        <v>6</v>
      </c>
      <c r="C210" s="542"/>
      <c r="D210" s="542"/>
      <c r="E210" s="542"/>
      <c r="F210" s="542"/>
      <c r="G210" s="542"/>
      <c r="H210" s="542"/>
      <c r="I210" s="542"/>
      <c r="J210" s="542"/>
      <c r="K210" s="542"/>
      <c r="L210" s="542"/>
      <c r="M210" s="542"/>
      <c r="N210" s="542"/>
      <c r="O210" s="542"/>
      <c r="P210" s="542"/>
      <c r="Q210" s="542"/>
      <c r="R210" s="542"/>
      <c r="S210" s="542"/>
      <c r="T210" s="131">
        <v>32.6</v>
      </c>
      <c r="U210" s="131"/>
      <c r="V210" s="235">
        <v>29.8</v>
      </c>
      <c r="W210" s="131">
        <v>24.5</v>
      </c>
      <c r="X210" s="131"/>
      <c r="Y210" s="235">
        <v>21.6</v>
      </c>
      <c r="Z210" s="131">
        <v>19.3</v>
      </c>
      <c r="AA210" s="131"/>
      <c r="AB210" s="235">
        <v>18.600000000000001</v>
      </c>
      <c r="AC210" s="131">
        <v>20.5</v>
      </c>
      <c r="AD210" s="131"/>
      <c r="AE210" s="235">
        <v>23.8</v>
      </c>
      <c r="AF210" s="131">
        <v>29.9</v>
      </c>
      <c r="AG210" s="131"/>
      <c r="AH210" s="235">
        <v>38.4</v>
      </c>
      <c r="AI210" s="131">
        <v>42.6</v>
      </c>
      <c r="AK210" s="235">
        <v>48.9</v>
      </c>
      <c r="AL210" s="513">
        <v>47.8</v>
      </c>
      <c r="AN210" s="235">
        <v>44.8</v>
      </c>
      <c r="AO210" s="513">
        <v>43.8</v>
      </c>
      <c r="AQ210" s="235">
        <v>47.1</v>
      </c>
      <c r="AR210" s="513">
        <v>49.6</v>
      </c>
      <c r="AT210" s="235">
        <v>53.7</v>
      </c>
      <c r="AU210" s="513">
        <v>59.6</v>
      </c>
      <c r="AW210" s="235">
        <v>37.700000000000003</v>
      </c>
      <c r="AX210" s="513">
        <v>39.299999999999997</v>
      </c>
      <c r="AZ210" s="235">
        <v>45.8</v>
      </c>
    </row>
    <row r="211" spans="2:52" s="225" customFormat="1" ht="15" customHeight="1" x14ac:dyDescent="0.3">
      <c r="B211" s="362" t="s">
        <v>7</v>
      </c>
      <c r="C211" s="542"/>
      <c r="D211" s="542"/>
      <c r="E211" s="542"/>
      <c r="F211" s="542"/>
      <c r="G211" s="542"/>
      <c r="H211" s="542"/>
      <c r="I211" s="542"/>
      <c r="J211" s="542"/>
      <c r="K211" s="542"/>
      <c r="L211" s="542"/>
      <c r="M211" s="542"/>
      <c r="N211" s="542"/>
      <c r="O211" s="542"/>
      <c r="P211" s="542"/>
      <c r="Q211" s="542"/>
      <c r="R211" s="542"/>
      <c r="S211" s="542"/>
      <c r="T211" s="131">
        <v>17.100000000000001</v>
      </c>
      <c r="U211" s="131"/>
      <c r="V211" s="235">
        <v>15.6</v>
      </c>
      <c r="W211" s="131">
        <v>18</v>
      </c>
      <c r="X211" s="131"/>
      <c r="Y211" s="235">
        <v>19.8</v>
      </c>
      <c r="Z211" s="131">
        <v>20.7</v>
      </c>
      <c r="AA211" s="131"/>
      <c r="AB211" s="235">
        <v>24</v>
      </c>
      <c r="AC211" s="131">
        <v>28.4</v>
      </c>
      <c r="AD211" s="131"/>
      <c r="AE211" s="235">
        <v>29.3</v>
      </c>
      <c r="AF211" s="131">
        <v>30.5</v>
      </c>
      <c r="AG211" s="131"/>
      <c r="AH211" s="235">
        <v>33</v>
      </c>
      <c r="AI211" s="131">
        <v>31.7</v>
      </c>
      <c r="AK211" s="235">
        <v>31.4</v>
      </c>
      <c r="AL211" s="513">
        <v>28.6</v>
      </c>
      <c r="AN211" s="235">
        <v>27.4</v>
      </c>
      <c r="AO211" s="513">
        <v>26.6</v>
      </c>
      <c r="AQ211" s="235">
        <v>29.3</v>
      </c>
      <c r="AR211" s="513">
        <v>29.5</v>
      </c>
      <c r="AT211" s="235">
        <v>29.7</v>
      </c>
      <c r="AU211" s="513">
        <v>27.5</v>
      </c>
      <c r="AW211" s="235">
        <v>25.2</v>
      </c>
      <c r="AX211" s="513">
        <v>22.1</v>
      </c>
      <c r="AZ211" s="235">
        <v>21.6</v>
      </c>
    </row>
    <row r="212" spans="2:52" s="225" customFormat="1" ht="15" customHeight="1" x14ac:dyDescent="0.3">
      <c r="B212" s="362" t="s">
        <v>597</v>
      </c>
      <c r="C212" s="542"/>
      <c r="D212" s="542"/>
      <c r="E212" s="542"/>
      <c r="F212" s="542"/>
      <c r="G212" s="542"/>
      <c r="H212" s="542"/>
      <c r="I212" s="542"/>
      <c r="J212" s="542"/>
      <c r="K212" s="542"/>
      <c r="L212" s="542"/>
      <c r="M212" s="542"/>
      <c r="N212" s="542"/>
      <c r="O212" s="542"/>
      <c r="P212" s="542"/>
      <c r="Q212" s="542"/>
      <c r="R212" s="542"/>
      <c r="S212" s="542"/>
      <c r="T212" s="131" t="s">
        <v>3</v>
      </c>
      <c r="U212" s="131"/>
      <c r="V212" s="235" t="s">
        <v>3</v>
      </c>
      <c r="W212" s="131" t="s">
        <v>3</v>
      </c>
      <c r="X212" s="131"/>
      <c r="Y212" s="235" t="s">
        <v>3</v>
      </c>
      <c r="Z212" s="131" t="s">
        <v>3</v>
      </c>
      <c r="AA212" s="131"/>
      <c r="AB212" s="235" t="s">
        <v>3</v>
      </c>
      <c r="AC212" s="131" t="s">
        <v>3</v>
      </c>
      <c r="AD212" s="131"/>
      <c r="AE212" s="235" t="s">
        <v>3</v>
      </c>
      <c r="AF212" s="131" t="s">
        <v>3</v>
      </c>
      <c r="AG212" s="131"/>
      <c r="AH212" s="235" t="s">
        <v>3</v>
      </c>
      <c r="AI212" s="131">
        <v>218.7</v>
      </c>
      <c r="AK212" s="235">
        <v>216.6</v>
      </c>
      <c r="AL212" s="513">
        <v>213.3</v>
      </c>
      <c r="AN212" s="235">
        <v>190.3</v>
      </c>
      <c r="AO212" s="513">
        <v>182.8</v>
      </c>
      <c r="AQ212" s="235">
        <v>171.7</v>
      </c>
      <c r="AR212" s="513">
        <v>176.3</v>
      </c>
      <c r="AT212" s="235">
        <v>176.1</v>
      </c>
      <c r="AU212" s="513">
        <v>180.6</v>
      </c>
      <c r="AW212" s="235">
        <v>162.19999999999999</v>
      </c>
      <c r="AX212" s="513">
        <v>151.80000000000001</v>
      </c>
      <c r="AZ212" s="235">
        <v>166.6</v>
      </c>
    </row>
    <row r="213" spans="2:52" s="225" customFormat="1" ht="15" customHeight="1" x14ac:dyDescent="0.3">
      <c r="B213" s="362" t="s">
        <v>8</v>
      </c>
      <c r="C213" s="542"/>
      <c r="D213" s="542"/>
      <c r="E213" s="542"/>
      <c r="F213" s="542"/>
      <c r="G213" s="542"/>
      <c r="H213" s="542"/>
      <c r="I213" s="542"/>
      <c r="J213" s="542"/>
      <c r="K213" s="542"/>
      <c r="L213" s="542"/>
      <c r="M213" s="542"/>
      <c r="N213" s="542"/>
      <c r="O213" s="542"/>
      <c r="P213" s="542"/>
      <c r="Q213" s="542"/>
      <c r="R213" s="542"/>
      <c r="S213" s="542"/>
      <c r="T213" s="131">
        <v>44.8</v>
      </c>
      <c r="U213" s="131"/>
      <c r="V213" s="235">
        <v>36.4</v>
      </c>
      <c r="W213" s="131">
        <v>36.299999999999997</v>
      </c>
      <c r="X213" s="131"/>
      <c r="Y213" s="235">
        <v>23.9</v>
      </c>
      <c r="Z213" s="131">
        <v>26.2</v>
      </c>
      <c r="AA213" s="131"/>
      <c r="AB213" s="235">
        <v>23.3</v>
      </c>
      <c r="AC213" s="131">
        <v>15.2</v>
      </c>
      <c r="AD213" s="131"/>
      <c r="AE213" s="235">
        <v>23.2</v>
      </c>
      <c r="AF213" s="131">
        <v>21.4</v>
      </c>
      <c r="AG213" s="131"/>
      <c r="AH213" s="235">
        <v>24</v>
      </c>
      <c r="AI213" s="131">
        <v>22.8</v>
      </c>
      <c r="AK213" s="235">
        <v>11.1</v>
      </c>
      <c r="AL213" s="513">
        <v>13.5</v>
      </c>
      <c r="AN213" s="235">
        <v>20.6</v>
      </c>
      <c r="AO213" s="513">
        <v>17.3</v>
      </c>
      <c r="AQ213" s="235">
        <v>18.5</v>
      </c>
      <c r="AR213" s="513">
        <v>20.8</v>
      </c>
      <c r="AT213" s="235">
        <v>21.4</v>
      </c>
      <c r="AU213" s="513">
        <v>21.4</v>
      </c>
      <c r="AW213" s="235">
        <v>25.4</v>
      </c>
      <c r="AX213" s="513">
        <v>32.4</v>
      </c>
      <c r="AZ213" s="235">
        <v>44.6</v>
      </c>
    </row>
    <row r="214" spans="2:52" s="225" customFormat="1" ht="15" customHeight="1" thickBot="1" x14ac:dyDescent="0.35">
      <c r="B214" s="552" t="s">
        <v>528</v>
      </c>
      <c r="C214" s="542"/>
      <c r="D214" s="542"/>
      <c r="E214" s="542"/>
      <c r="F214" s="542"/>
      <c r="G214" s="542"/>
      <c r="H214" s="542"/>
      <c r="I214" s="542"/>
      <c r="J214" s="542"/>
      <c r="K214" s="542"/>
      <c r="L214" s="542"/>
      <c r="M214" s="542"/>
      <c r="N214" s="542"/>
      <c r="O214" s="542"/>
      <c r="P214" s="542"/>
      <c r="Q214" s="542"/>
      <c r="R214" s="542"/>
      <c r="S214" s="542"/>
      <c r="T214" s="131" t="s">
        <v>3</v>
      </c>
      <c r="U214" s="131"/>
      <c r="V214" s="235" t="s">
        <v>3</v>
      </c>
      <c r="W214" s="131" t="s">
        <v>3</v>
      </c>
      <c r="X214" s="131"/>
      <c r="Y214" s="235" t="s">
        <v>3</v>
      </c>
      <c r="Z214" s="131" t="s">
        <v>3</v>
      </c>
      <c r="AA214" s="131"/>
      <c r="AB214" s="235" t="s">
        <v>3</v>
      </c>
      <c r="AC214" s="131">
        <v>17.7</v>
      </c>
      <c r="AD214" s="131"/>
      <c r="AE214" s="235">
        <v>75.900000000000006</v>
      </c>
      <c r="AF214" s="131">
        <v>19.2</v>
      </c>
      <c r="AG214" s="131"/>
      <c r="AH214" s="235">
        <v>19.7</v>
      </c>
      <c r="AI214" s="131">
        <v>29.2</v>
      </c>
      <c r="AJ214" s="513"/>
      <c r="AK214" s="235">
        <v>55.2</v>
      </c>
      <c r="AL214" s="513">
        <v>12.7</v>
      </c>
      <c r="AM214" s="513"/>
      <c r="AN214" s="235">
        <v>46.6</v>
      </c>
      <c r="AO214" s="513">
        <v>95.4</v>
      </c>
      <c r="AP214" s="513"/>
      <c r="AQ214" s="235">
        <v>102</v>
      </c>
      <c r="AR214" s="513">
        <v>34.6</v>
      </c>
      <c r="AS214" s="513"/>
      <c r="AT214" s="235">
        <v>25.7</v>
      </c>
      <c r="AU214" s="513">
        <v>26.4</v>
      </c>
      <c r="AV214" s="513"/>
      <c r="AW214" s="235">
        <v>19.399999999999999</v>
      </c>
      <c r="AX214" s="513">
        <v>0</v>
      </c>
      <c r="AY214" s="513"/>
      <c r="AZ214" s="235">
        <v>0</v>
      </c>
    </row>
    <row r="215" spans="2:52" s="225" customFormat="1" ht="15" customHeight="1" x14ac:dyDescent="0.3">
      <c r="B215" s="635"/>
      <c r="C215" s="636"/>
      <c r="D215" s="636"/>
      <c r="E215" s="636"/>
      <c r="F215" s="636"/>
      <c r="G215" s="636"/>
      <c r="H215" s="636"/>
      <c r="I215" s="636"/>
      <c r="J215" s="636"/>
      <c r="K215" s="636"/>
      <c r="L215" s="636"/>
      <c r="M215" s="636"/>
      <c r="N215" s="636"/>
      <c r="O215" s="636"/>
      <c r="P215" s="636"/>
      <c r="Q215" s="636"/>
      <c r="R215" s="636"/>
      <c r="S215" s="636"/>
      <c r="T215" s="331">
        <f t="shared" ref="T215:AC215" si="508">SUM(T209:T214)</f>
        <v>300.7</v>
      </c>
      <c r="U215" s="331"/>
      <c r="V215" s="561">
        <f t="shared" si="508"/>
        <v>280.2</v>
      </c>
      <c r="W215" s="331">
        <f t="shared" si="508"/>
        <v>283.10000000000002</v>
      </c>
      <c r="X215" s="331"/>
      <c r="Y215" s="561">
        <f t="shared" si="508"/>
        <v>285.7</v>
      </c>
      <c r="Z215" s="331">
        <f t="shared" si="508"/>
        <v>290.60000000000002</v>
      </c>
      <c r="AA215" s="331"/>
      <c r="AB215" s="561">
        <f t="shared" si="508"/>
        <v>289.2</v>
      </c>
      <c r="AC215" s="331">
        <f t="shared" si="508"/>
        <v>303.39999999999998</v>
      </c>
      <c r="AD215" s="331"/>
      <c r="AE215" s="561">
        <f t="shared" ref="AE215:AU215" si="509">SUM(AE209:AE214)</f>
        <v>375.4</v>
      </c>
      <c r="AF215" s="331">
        <f t="shared" si="509"/>
        <v>327.69999999999993</v>
      </c>
      <c r="AG215" s="331"/>
      <c r="AH215" s="561">
        <f t="shared" si="509"/>
        <v>342.29999999999995</v>
      </c>
      <c r="AI215" s="331">
        <f t="shared" si="509"/>
        <v>565.4</v>
      </c>
      <c r="AJ215" s="637"/>
      <c r="AK215" s="561">
        <f t="shared" si="509"/>
        <v>572.20000000000005</v>
      </c>
      <c r="AL215" s="331">
        <f t="shared" si="509"/>
        <v>519.90000000000009</v>
      </c>
      <c r="AM215" s="637"/>
      <c r="AN215" s="561">
        <f t="shared" si="509"/>
        <v>529.6</v>
      </c>
      <c r="AO215" s="331">
        <f t="shared" si="509"/>
        <v>564.70000000000005</v>
      </c>
      <c r="AP215" s="637"/>
      <c r="AQ215" s="561">
        <f t="shared" si="509"/>
        <v>570.9</v>
      </c>
      <c r="AR215" s="331">
        <f t="shared" si="509"/>
        <v>515.9</v>
      </c>
      <c r="AS215" s="637"/>
      <c r="AT215" s="561">
        <f t="shared" si="509"/>
        <v>506.89999999999992</v>
      </c>
      <c r="AU215" s="331">
        <f t="shared" si="509"/>
        <v>501.59999999999991</v>
      </c>
      <c r="AV215" s="637"/>
      <c r="AW215" s="561">
        <v>452.8</v>
      </c>
      <c r="AX215" s="331">
        <f>SUM(AX209:AX214)</f>
        <v>427.6</v>
      </c>
      <c r="AY215" s="637"/>
      <c r="AZ215" s="561">
        <f>SUM(AZ209:AZ214)</f>
        <v>460.6</v>
      </c>
    </row>
    <row r="216" spans="2:52" s="225" customFormat="1" ht="15" customHeight="1" x14ac:dyDescent="0.3">
      <c r="B216" s="364" t="s">
        <v>9</v>
      </c>
      <c r="C216" s="548"/>
      <c r="D216" s="548"/>
      <c r="E216" s="548"/>
      <c r="F216" s="548"/>
      <c r="G216" s="548"/>
      <c r="H216" s="548"/>
      <c r="I216" s="548"/>
      <c r="J216" s="548"/>
      <c r="K216" s="548"/>
      <c r="L216" s="548"/>
      <c r="M216" s="548"/>
      <c r="N216" s="548"/>
      <c r="O216" s="548"/>
      <c r="P216" s="548"/>
      <c r="Q216" s="548"/>
      <c r="R216" s="548"/>
      <c r="S216" s="548"/>
      <c r="T216" s="332"/>
      <c r="U216" s="332"/>
      <c r="V216" s="555"/>
      <c r="W216" s="332"/>
      <c r="X216" s="332"/>
      <c r="Y216" s="555"/>
      <c r="Z216" s="332"/>
      <c r="AA216" s="332"/>
      <c r="AB216" s="555"/>
      <c r="AC216" s="332"/>
      <c r="AD216" s="332"/>
      <c r="AE216" s="555"/>
      <c r="AF216" s="332"/>
      <c r="AG216" s="332"/>
      <c r="AH216" s="555"/>
      <c r="AI216" s="332"/>
      <c r="AJ216" s="571"/>
      <c r="AK216" s="555"/>
      <c r="AL216" s="571"/>
      <c r="AM216" s="571"/>
      <c r="AN216" s="555"/>
      <c r="AO216" s="571"/>
      <c r="AP216" s="571"/>
      <c r="AQ216" s="555"/>
      <c r="AR216" s="571"/>
      <c r="AS216" s="571"/>
      <c r="AT216" s="555"/>
      <c r="AU216" s="571"/>
      <c r="AV216" s="571"/>
      <c r="AW216" s="555"/>
      <c r="AX216" s="571"/>
      <c r="AY216" s="571"/>
      <c r="AZ216" s="555"/>
    </row>
    <row r="217" spans="2:52" s="225" customFormat="1" ht="15" customHeight="1" x14ac:dyDescent="0.3">
      <c r="B217" s="362" t="s">
        <v>10</v>
      </c>
      <c r="C217" s="542"/>
      <c r="D217" s="542"/>
      <c r="E217" s="542"/>
      <c r="F217" s="542"/>
      <c r="G217" s="542"/>
      <c r="H217" s="542"/>
      <c r="I217" s="542"/>
      <c r="J217" s="542"/>
      <c r="K217" s="542"/>
      <c r="L217" s="542"/>
      <c r="M217" s="542"/>
      <c r="N217" s="542"/>
      <c r="O217" s="542"/>
      <c r="P217" s="542"/>
      <c r="Q217" s="542"/>
      <c r="R217" s="542"/>
      <c r="S217" s="542"/>
      <c r="T217" s="131">
        <v>533.6</v>
      </c>
      <c r="U217" s="131"/>
      <c r="V217" s="235">
        <v>600.5</v>
      </c>
      <c r="W217" s="131">
        <v>628.6</v>
      </c>
      <c r="X217" s="131"/>
      <c r="Y217" s="235">
        <v>763.9</v>
      </c>
      <c r="Z217" s="131">
        <v>763.6</v>
      </c>
      <c r="AA217" s="131"/>
      <c r="AB217" s="235">
        <v>908.2</v>
      </c>
      <c r="AC217" s="131">
        <v>929.5</v>
      </c>
      <c r="AD217" s="131"/>
      <c r="AE217" s="235">
        <v>1010.4</v>
      </c>
      <c r="AF217" s="131">
        <v>962.1</v>
      </c>
      <c r="AG217" s="131"/>
      <c r="AH217" s="235">
        <v>1025.3</v>
      </c>
      <c r="AI217" s="131">
        <v>910</v>
      </c>
      <c r="AJ217" s="513"/>
      <c r="AK217" s="235">
        <v>878.8</v>
      </c>
      <c r="AL217" s="513">
        <v>748.7</v>
      </c>
      <c r="AM217" s="513"/>
      <c r="AN217" s="235">
        <v>927.7</v>
      </c>
      <c r="AO217" s="513">
        <v>936.9</v>
      </c>
      <c r="AP217" s="513"/>
      <c r="AQ217" s="235">
        <v>1205.0999999999999</v>
      </c>
      <c r="AR217" s="513">
        <v>1174.0999999999999</v>
      </c>
      <c r="AS217" s="513"/>
      <c r="AT217" s="235">
        <v>1244.5999999999999</v>
      </c>
      <c r="AU217" s="513">
        <v>1119.8</v>
      </c>
      <c r="AV217" s="513"/>
      <c r="AW217" s="235">
        <v>1194.5</v>
      </c>
      <c r="AX217" s="513">
        <v>1126.2</v>
      </c>
      <c r="AY217" s="513"/>
      <c r="AZ217" s="235">
        <v>1134.0999999999999</v>
      </c>
    </row>
    <row r="218" spans="2:52" s="225" customFormat="1" ht="15" customHeight="1" x14ac:dyDescent="0.3">
      <c r="B218" s="362" t="s">
        <v>662</v>
      </c>
      <c r="C218" s="542"/>
      <c r="D218" s="542"/>
      <c r="E218" s="542"/>
      <c r="F218" s="542"/>
      <c r="G218" s="542"/>
      <c r="H218" s="542"/>
      <c r="I218" s="542"/>
      <c r="J218" s="542"/>
      <c r="K218" s="542"/>
      <c r="L218" s="542"/>
      <c r="M218" s="542"/>
      <c r="N218" s="542"/>
      <c r="O218" s="542"/>
      <c r="P218" s="542"/>
      <c r="Q218" s="542"/>
      <c r="R218" s="542"/>
      <c r="S218" s="542"/>
      <c r="T218" s="131" t="s">
        <v>3</v>
      </c>
      <c r="U218" s="131" t="s">
        <v>3</v>
      </c>
      <c r="V218" s="235" t="s">
        <v>3</v>
      </c>
      <c r="W218" s="131" t="s">
        <v>3</v>
      </c>
      <c r="X218" s="131" t="s">
        <v>3</v>
      </c>
      <c r="Y218" s="235" t="s">
        <v>3</v>
      </c>
      <c r="Z218" s="131" t="s">
        <v>3</v>
      </c>
      <c r="AA218" s="131" t="s">
        <v>3</v>
      </c>
      <c r="AB218" s="235" t="s">
        <v>3</v>
      </c>
      <c r="AC218" s="131" t="s">
        <v>3</v>
      </c>
      <c r="AD218" s="131" t="s">
        <v>3</v>
      </c>
      <c r="AE218" s="235" t="s">
        <v>3</v>
      </c>
      <c r="AF218" s="131">
        <v>0</v>
      </c>
      <c r="AG218" s="131"/>
      <c r="AH218" s="235">
        <v>5.6</v>
      </c>
      <c r="AI218" s="131">
        <v>0</v>
      </c>
      <c r="AJ218" s="513"/>
      <c r="AK218" s="235">
        <v>4.3</v>
      </c>
      <c r="AL218" s="513">
        <v>4.3</v>
      </c>
      <c r="AM218" s="513"/>
      <c r="AN218" s="235">
        <v>5.6</v>
      </c>
      <c r="AO218" s="513">
        <v>3</v>
      </c>
      <c r="AP218" s="513"/>
      <c r="AQ218" s="235">
        <v>5.2</v>
      </c>
      <c r="AR218" s="513">
        <v>5.2</v>
      </c>
      <c r="AS218" s="513"/>
      <c r="AT218" s="235">
        <v>6.8</v>
      </c>
      <c r="AU218" s="513">
        <v>6.8</v>
      </c>
      <c r="AV218" s="513"/>
      <c r="AW218" s="235">
        <v>9.1</v>
      </c>
      <c r="AX218" s="513">
        <v>9.1</v>
      </c>
      <c r="AY218" s="513"/>
      <c r="AZ218" s="235">
        <v>5.9</v>
      </c>
    </row>
    <row r="219" spans="2:52" s="225" customFormat="1" ht="15" customHeight="1" x14ac:dyDescent="0.3">
      <c r="B219" s="362" t="s">
        <v>11</v>
      </c>
      <c r="C219" s="542"/>
      <c r="D219" s="542"/>
      <c r="E219" s="542"/>
      <c r="F219" s="542"/>
      <c r="G219" s="542"/>
      <c r="H219" s="542"/>
      <c r="I219" s="542"/>
      <c r="J219" s="542"/>
      <c r="K219" s="542"/>
      <c r="L219" s="542"/>
      <c r="M219" s="542"/>
      <c r="N219" s="542"/>
      <c r="O219" s="542"/>
      <c r="P219" s="542"/>
      <c r="Q219" s="542"/>
      <c r="R219" s="542"/>
      <c r="S219" s="542"/>
      <c r="T219" s="131">
        <v>56.5</v>
      </c>
      <c r="U219" s="131"/>
      <c r="V219" s="235">
        <v>69.8</v>
      </c>
      <c r="W219" s="131">
        <v>64.400000000000006</v>
      </c>
      <c r="X219" s="131"/>
      <c r="Y219" s="235">
        <v>62.9</v>
      </c>
      <c r="Z219" s="131">
        <v>114</v>
      </c>
      <c r="AA219" s="131"/>
      <c r="AB219" s="235">
        <v>112</v>
      </c>
      <c r="AC219" s="131">
        <v>114.5</v>
      </c>
      <c r="AD219" s="131"/>
      <c r="AE219" s="235">
        <v>122.9</v>
      </c>
      <c r="AF219" s="131">
        <v>117.5</v>
      </c>
      <c r="AG219" s="131"/>
      <c r="AH219" s="235">
        <v>129.69999999999999</v>
      </c>
      <c r="AI219" s="131">
        <v>103.2</v>
      </c>
      <c r="AJ219" s="513"/>
      <c r="AK219" s="235">
        <v>484.5</v>
      </c>
      <c r="AL219" s="513">
        <v>393.2</v>
      </c>
      <c r="AM219" s="513"/>
      <c r="AN219" s="235">
        <v>410.6</v>
      </c>
      <c r="AO219" s="513">
        <v>236.9</v>
      </c>
      <c r="AP219" s="513"/>
      <c r="AQ219" s="235">
        <v>296.2</v>
      </c>
      <c r="AR219" s="513">
        <v>191.4</v>
      </c>
      <c r="AS219" s="513"/>
      <c r="AT219" s="235">
        <v>145.6</v>
      </c>
      <c r="AU219" s="513">
        <v>151.9</v>
      </c>
      <c r="AV219" s="513"/>
      <c r="AW219" s="235">
        <v>160.9</v>
      </c>
      <c r="AX219" s="513">
        <v>154</v>
      </c>
      <c r="AY219" s="513"/>
      <c r="AZ219" s="235">
        <v>168.5</v>
      </c>
    </row>
    <row r="220" spans="2:52" s="225" customFormat="1" ht="15" customHeight="1" thickBot="1" x14ac:dyDescent="0.35">
      <c r="B220" s="552" t="s">
        <v>12</v>
      </c>
      <c r="C220" s="553"/>
      <c r="D220" s="553"/>
      <c r="E220" s="553"/>
      <c r="F220" s="553"/>
      <c r="G220" s="553"/>
      <c r="H220" s="553"/>
      <c r="I220" s="553"/>
      <c r="J220" s="553"/>
      <c r="K220" s="553"/>
      <c r="L220" s="553"/>
      <c r="M220" s="553"/>
      <c r="N220" s="553"/>
      <c r="O220" s="553"/>
      <c r="P220" s="553"/>
      <c r="Q220" s="553"/>
      <c r="R220" s="553"/>
      <c r="S220" s="553"/>
      <c r="T220" s="324" t="s">
        <v>3</v>
      </c>
      <c r="U220" s="324"/>
      <c r="V220" s="554" t="s">
        <v>3</v>
      </c>
      <c r="W220" s="324" t="s">
        <v>3</v>
      </c>
      <c r="X220" s="324"/>
      <c r="Y220" s="554">
        <v>6.6</v>
      </c>
      <c r="Z220" s="324" t="s">
        <v>3</v>
      </c>
      <c r="AA220" s="324"/>
      <c r="AB220" s="554" t="s">
        <v>3</v>
      </c>
      <c r="AC220" s="324" t="s">
        <v>3</v>
      </c>
      <c r="AD220" s="324"/>
      <c r="AE220" s="554" t="s">
        <v>3</v>
      </c>
      <c r="AF220" s="324">
        <v>0.1</v>
      </c>
      <c r="AG220" s="324"/>
      <c r="AH220" s="554">
        <v>0</v>
      </c>
      <c r="AI220" s="324" t="s">
        <v>3</v>
      </c>
      <c r="AJ220" s="638"/>
      <c r="AK220" s="554">
        <v>0.1</v>
      </c>
      <c r="AL220" s="638" t="s">
        <v>3</v>
      </c>
      <c r="AM220" s="638"/>
      <c r="AN220" s="554" t="s">
        <v>3</v>
      </c>
      <c r="AO220" s="638" t="s">
        <v>3</v>
      </c>
      <c r="AP220" s="638"/>
      <c r="AQ220" s="554" t="s">
        <v>3</v>
      </c>
      <c r="AR220" s="638" t="s">
        <v>3</v>
      </c>
      <c r="AS220" s="638"/>
      <c r="AT220" s="554">
        <v>0.1</v>
      </c>
      <c r="AU220" s="638">
        <v>0</v>
      </c>
      <c r="AV220" s="638"/>
      <c r="AW220" s="554">
        <v>0</v>
      </c>
      <c r="AX220" s="638">
        <v>0</v>
      </c>
      <c r="AY220" s="638"/>
      <c r="AZ220" s="554">
        <v>0</v>
      </c>
    </row>
    <row r="221" spans="2:52" s="225" customFormat="1" ht="15" customHeight="1" thickBot="1" x14ac:dyDescent="0.35">
      <c r="B221" s="544"/>
      <c r="C221" s="553"/>
      <c r="D221" s="553"/>
      <c r="E221" s="553"/>
      <c r="F221" s="553"/>
      <c r="G221" s="553"/>
      <c r="H221" s="553"/>
      <c r="I221" s="553"/>
      <c r="J221" s="553"/>
      <c r="K221" s="553"/>
      <c r="L221" s="553"/>
      <c r="M221" s="553"/>
      <c r="N221" s="553"/>
      <c r="O221" s="553"/>
      <c r="P221" s="553"/>
      <c r="Q221" s="553"/>
      <c r="R221" s="553"/>
      <c r="S221" s="553"/>
      <c r="T221" s="325">
        <v>590.1</v>
      </c>
      <c r="U221" s="325"/>
      <c r="V221" s="563">
        <v>670.3</v>
      </c>
      <c r="W221" s="325">
        <v>693</v>
      </c>
      <c r="X221" s="325"/>
      <c r="Y221" s="563">
        <v>833.4</v>
      </c>
      <c r="Z221" s="325">
        <v>877.6</v>
      </c>
      <c r="AA221" s="325"/>
      <c r="AB221" s="563">
        <v>1020.2</v>
      </c>
      <c r="AC221" s="325">
        <v>1044</v>
      </c>
      <c r="AD221" s="325"/>
      <c r="AE221" s="563">
        <v>1133.3</v>
      </c>
      <c r="AF221" s="325">
        <v>1079.7</v>
      </c>
      <c r="AG221" s="325"/>
      <c r="AH221" s="563">
        <f>SUM(AH217:AH220)</f>
        <v>1160.5999999999999</v>
      </c>
      <c r="AI221" s="325">
        <f>SUM(AI217:AI220)</f>
        <v>1013.2</v>
      </c>
      <c r="AJ221" s="639"/>
      <c r="AK221" s="563">
        <f>SUM(AK217:AK220)</f>
        <v>1367.6999999999998</v>
      </c>
      <c r="AL221" s="325">
        <f>SUM(AL217:AL220)</f>
        <v>1146.2</v>
      </c>
      <c r="AM221" s="639"/>
      <c r="AN221" s="563">
        <f>SUM(AN217:AN220)</f>
        <v>1343.9</v>
      </c>
      <c r="AO221" s="325">
        <f>SUM(AO217:AO220)</f>
        <v>1176.8</v>
      </c>
      <c r="AP221" s="639"/>
      <c r="AQ221" s="563">
        <f>SUM(AQ217:AQ220)</f>
        <v>1506.5</v>
      </c>
      <c r="AR221" s="325">
        <f>SUM(AR217:AR220)</f>
        <v>1370.7</v>
      </c>
      <c r="AS221" s="639"/>
      <c r="AT221" s="563">
        <f>SUM(AT217:AT220)</f>
        <v>1397.0999999999997</v>
      </c>
      <c r="AU221" s="325">
        <f>SUM(AU217:AU220)</f>
        <v>1278.5</v>
      </c>
      <c r="AV221" s="639"/>
      <c r="AW221" s="563">
        <v>1364.5</v>
      </c>
      <c r="AX221" s="325">
        <f>SUM(AX217:AX220)</f>
        <v>1289.3</v>
      </c>
      <c r="AY221" s="639"/>
      <c r="AZ221" s="563">
        <f>SUM(AZ217:AZ220)</f>
        <v>1308.5</v>
      </c>
    </row>
    <row r="222" spans="2:52" s="225" customFormat="1" ht="15" customHeight="1" thickBot="1" x14ac:dyDescent="0.35">
      <c r="B222" s="363" t="s">
        <v>13</v>
      </c>
      <c r="C222" s="562"/>
      <c r="D222" s="562"/>
      <c r="E222" s="562"/>
      <c r="F222" s="562"/>
      <c r="G222" s="562"/>
      <c r="H222" s="562"/>
      <c r="I222" s="562"/>
      <c r="J222" s="562"/>
      <c r="K222" s="562"/>
      <c r="L222" s="562"/>
      <c r="M222" s="562"/>
      <c r="N222" s="562"/>
      <c r="O222" s="562"/>
      <c r="P222" s="562"/>
      <c r="Q222" s="562"/>
      <c r="R222" s="562"/>
      <c r="S222" s="562"/>
      <c r="T222" s="325">
        <v>890.8</v>
      </c>
      <c r="U222" s="325"/>
      <c r="V222" s="563">
        <v>950.5</v>
      </c>
      <c r="W222" s="325">
        <v>976.1</v>
      </c>
      <c r="X222" s="325"/>
      <c r="Y222" s="563">
        <v>1119.0999999999999</v>
      </c>
      <c r="Z222" s="325">
        <v>1168.2</v>
      </c>
      <c r="AA222" s="325"/>
      <c r="AB222" s="563">
        <v>1309.4000000000001</v>
      </c>
      <c r="AC222" s="325">
        <v>1347.4</v>
      </c>
      <c r="AD222" s="325"/>
      <c r="AE222" s="563">
        <v>1508.7</v>
      </c>
      <c r="AF222" s="325">
        <v>1407.4</v>
      </c>
      <c r="AG222" s="325"/>
      <c r="AH222" s="563">
        <f>SUM(AH215,AH221)</f>
        <v>1502.8999999999999</v>
      </c>
      <c r="AI222" s="325">
        <f>SUM(AI215,AI221)</f>
        <v>1578.6</v>
      </c>
      <c r="AJ222" s="639"/>
      <c r="AK222" s="563">
        <f>SUM(AK215,AK221)</f>
        <v>1939.8999999999999</v>
      </c>
      <c r="AL222" s="325">
        <f>SUM(AL215,AL221)</f>
        <v>1666.1000000000001</v>
      </c>
      <c r="AM222" s="639"/>
      <c r="AN222" s="563">
        <f>SUM(AN215,AN221)</f>
        <v>1873.5</v>
      </c>
      <c r="AO222" s="325">
        <f>SUM(AO215,AO221)</f>
        <v>1741.5</v>
      </c>
      <c r="AP222" s="639"/>
      <c r="AQ222" s="563">
        <f>SUM(AQ215,AQ221)</f>
        <v>2077.4</v>
      </c>
      <c r="AR222" s="325">
        <f>SUM(AR215,AR221)</f>
        <v>1886.6</v>
      </c>
      <c r="AS222" s="639"/>
      <c r="AT222" s="563">
        <f>SUM(AT215,AT221)</f>
        <v>1903.9999999999995</v>
      </c>
      <c r="AU222" s="325">
        <f>SUM(AU215,AU221)</f>
        <v>1780.1</v>
      </c>
      <c r="AV222" s="639"/>
      <c r="AW222" s="563">
        <v>1817.3</v>
      </c>
      <c r="AX222" s="325">
        <f>AX221+AX215</f>
        <v>1716.9</v>
      </c>
      <c r="AY222" s="639"/>
      <c r="AZ222" s="563">
        <f>AZ221+AZ215</f>
        <v>1769.1</v>
      </c>
    </row>
    <row r="223" spans="2:52" s="225" customFormat="1" ht="15" customHeight="1" x14ac:dyDescent="0.3">
      <c r="B223" s="361" t="s">
        <v>14</v>
      </c>
      <c r="C223" s="548"/>
      <c r="D223" s="548"/>
      <c r="E223" s="548"/>
      <c r="F223" s="548"/>
      <c r="G223" s="548"/>
      <c r="H223" s="548"/>
      <c r="I223" s="548"/>
      <c r="J223" s="548"/>
      <c r="K223" s="548"/>
      <c r="L223" s="548"/>
      <c r="M223" s="548"/>
      <c r="N223" s="548"/>
      <c r="O223" s="548"/>
      <c r="P223" s="548"/>
      <c r="Q223" s="548"/>
      <c r="R223" s="548"/>
      <c r="S223" s="548"/>
      <c r="T223" s="321"/>
      <c r="U223" s="321"/>
      <c r="V223" s="549"/>
      <c r="W223" s="321"/>
      <c r="X223" s="321"/>
      <c r="Y223" s="549"/>
      <c r="Z223" s="321"/>
      <c r="AA223" s="321"/>
      <c r="AB223" s="549"/>
      <c r="AC223" s="321"/>
      <c r="AD223" s="321"/>
      <c r="AE223" s="549"/>
      <c r="AF223" s="321"/>
      <c r="AG223" s="321"/>
      <c r="AH223" s="549"/>
      <c r="AI223" s="321"/>
      <c r="AJ223" s="634"/>
      <c r="AK223" s="549"/>
      <c r="AL223" s="634"/>
      <c r="AM223" s="634"/>
      <c r="AN223" s="549"/>
      <c r="AO223" s="634"/>
      <c r="AP223" s="634"/>
      <c r="AQ223" s="549"/>
      <c r="AR223" s="634"/>
      <c r="AS223" s="634"/>
      <c r="AT223" s="549"/>
      <c r="AU223" s="634"/>
      <c r="AV223" s="634"/>
      <c r="AW223" s="549"/>
      <c r="AX223" s="634"/>
      <c r="AY223" s="634"/>
      <c r="AZ223" s="549"/>
    </row>
    <row r="224" spans="2:52" s="225" customFormat="1" ht="15" customHeight="1" x14ac:dyDescent="0.3">
      <c r="B224" s="362" t="s">
        <v>15</v>
      </c>
      <c r="C224" s="542"/>
      <c r="D224" s="542"/>
      <c r="E224" s="542"/>
      <c r="F224" s="542"/>
      <c r="G224" s="542"/>
      <c r="H224" s="542"/>
      <c r="I224" s="542"/>
      <c r="J224" s="542"/>
      <c r="K224" s="542"/>
      <c r="L224" s="542"/>
      <c r="M224" s="542"/>
      <c r="N224" s="542"/>
      <c r="O224" s="542"/>
      <c r="P224" s="542"/>
      <c r="Q224" s="542"/>
      <c r="R224" s="542"/>
      <c r="S224" s="542"/>
      <c r="T224" s="131">
        <v>-394.9</v>
      </c>
      <c r="U224" s="131"/>
      <c r="V224" s="235">
        <v>-478.7</v>
      </c>
      <c r="W224" s="131">
        <v>-435.2</v>
      </c>
      <c r="X224" s="131"/>
      <c r="Y224" s="235">
        <v>-573.29999999999995</v>
      </c>
      <c r="Z224" s="131">
        <v>-529</v>
      </c>
      <c r="AA224" s="131"/>
      <c r="AB224" s="235">
        <v>-676.5</v>
      </c>
      <c r="AC224" s="131">
        <v>-642.79999999999995</v>
      </c>
      <c r="AD224" s="131"/>
      <c r="AE224" s="235">
        <v>-758</v>
      </c>
      <c r="AF224" s="131">
        <v>-646.79999999999995</v>
      </c>
      <c r="AG224" s="131"/>
      <c r="AH224" s="235">
        <v>-761.7</v>
      </c>
      <c r="AI224" s="131">
        <v>-601.70000000000005</v>
      </c>
      <c r="AJ224" s="513"/>
      <c r="AK224" s="235">
        <v>-800.3</v>
      </c>
      <c r="AL224" s="513">
        <v>-597.79999999999995</v>
      </c>
      <c r="AM224" s="513"/>
      <c r="AN224" s="235">
        <v>-753.2</v>
      </c>
      <c r="AO224" s="513">
        <v>-688.6</v>
      </c>
      <c r="AP224" s="513"/>
      <c r="AQ224" s="235">
        <v>-1029.8</v>
      </c>
      <c r="AR224" s="513">
        <v>-894.2</v>
      </c>
      <c r="AS224" s="513"/>
      <c r="AT224" s="235">
        <v>-991.3</v>
      </c>
      <c r="AU224" s="513">
        <v>-862</v>
      </c>
      <c r="AV224" s="513"/>
      <c r="AW224" s="235">
        <v>-926.6</v>
      </c>
      <c r="AX224" s="513">
        <v>-894.3</v>
      </c>
      <c r="AY224" s="513"/>
      <c r="AZ224" s="235">
        <v>-931.9</v>
      </c>
    </row>
    <row r="225" spans="2:52" s="225" customFormat="1" ht="15" customHeight="1" x14ac:dyDescent="0.3">
      <c r="B225" s="362" t="s">
        <v>598</v>
      </c>
      <c r="C225" s="542"/>
      <c r="D225" s="542"/>
      <c r="E225" s="542"/>
      <c r="F225" s="542"/>
      <c r="G225" s="542"/>
      <c r="H225" s="542"/>
      <c r="I225" s="542"/>
      <c r="J225" s="542"/>
      <c r="K225" s="542"/>
      <c r="L225" s="542"/>
      <c r="M225" s="542"/>
      <c r="N225" s="542"/>
      <c r="O225" s="542"/>
      <c r="P225" s="542"/>
      <c r="Q225" s="542"/>
      <c r="R225" s="542"/>
      <c r="S225" s="542"/>
      <c r="T225" s="131" t="s">
        <v>3</v>
      </c>
      <c r="U225" s="131"/>
      <c r="V225" s="235" t="s">
        <v>3</v>
      </c>
      <c r="W225" s="131" t="s">
        <v>3</v>
      </c>
      <c r="X225" s="131"/>
      <c r="Y225" s="235" t="s">
        <v>3</v>
      </c>
      <c r="Z225" s="131" t="s">
        <v>3</v>
      </c>
      <c r="AA225" s="131"/>
      <c r="AB225" s="235" t="s">
        <v>3</v>
      </c>
      <c r="AC225" s="131" t="s">
        <v>3</v>
      </c>
      <c r="AD225" s="131"/>
      <c r="AE225" s="235" t="s">
        <v>3</v>
      </c>
      <c r="AF225" s="131" t="s">
        <v>3</v>
      </c>
      <c r="AG225" s="131"/>
      <c r="AH225" s="235" t="s">
        <v>3</v>
      </c>
      <c r="AI225" s="131">
        <v>-40.6</v>
      </c>
      <c r="AJ225" s="513"/>
      <c r="AK225" s="235">
        <v>-43.8</v>
      </c>
      <c r="AL225" s="513">
        <v>-39.6</v>
      </c>
      <c r="AM225" s="513"/>
      <c r="AN225" s="235">
        <v>-36.9</v>
      </c>
      <c r="AO225" s="513">
        <v>-36.700000000000003</v>
      </c>
      <c r="AP225" s="513"/>
      <c r="AQ225" s="235">
        <v>-39.799999999999997</v>
      </c>
      <c r="AR225" s="513">
        <v>-42.2</v>
      </c>
      <c r="AS225" s="513"/>
      <c r="AT225" s="235">
        <v>-41.3</v>
      </c>
      <c r="AU225" s="513">
        <v>-45.6</v>
      </c>
      <c r="AV225" s="513"/>
      <c r="AW225" s="235">
        <v>-44.2</v>
      </c>
      <c r="AX225" s="513">
        <v>-43.9</v>
      </c>
      <c r="AY225" s="513"/>
      <c r="AZ225" s="235">
        <v>-39.799999999999997</v>
      </c>
    </row>
    <row r="226" spans="2:52" s="225" customFormat="1" ht="15" customHeight="1" x14ac:dyDescent="0.3">
      <c r="B226" s="362" t="s">
        <v>16</v>
      </c>
      <c r="C226" s="542"/>
      <c r="D226" s="542"/>
      <c r="E226" s="542"/>
      <c r="F226" s="542"/>
      <c r="G226" s="542"/>
      <c r="H226" s="542"/>
      <c r="I226" s="542"/>
      <c r="J226" s="542"/>
      <c r="K226" s="542"/>
      <c r="L226" s="542"/>
      <c r="M226" s="542"/>
      <c r="N226" s="542"/>
      <c r="O226" s="542"/>
      <c r="P226" s="542"/>
      <c r="Q226" s="542"/>
      <c r="R226" s="542"/>
      <c r="S226" s="542"/>
      <c r="T226" s="131">
        <v>-23.2</v>
      </c>
      <c r="U226" s="131"/>
      <c r="V226" s="235">
        <v>-19.5</v>
      </c>
      <c r="W226" s="131">
        <v>-20.100000000000001</v>
      </c>
      <c r="X226" s="131"/>
      <c r="Y226" s="235">
        <v>-27.1</v>
      </c>
      <c r="Z226" s="131">
        <v>-29.9</v>
      </c>
      <c r="AA226" s="131"/>
      <c r="AB226" s="235">
        <v>-23.5</v>
      </c>
      <c r="AC226" s="131">
        <v>-20</v>
      </c>
      <c r="AD226" s="131"/>
      <c r="AE226" s="235">
        <v>-25.4</v>
      </c>
      <c r="AF226" s="131">
        <v>-28.4</v>
      </c>
      <c r="AG226" s="131"/>
      <c r="AH226" s="235">
        <v>-23</v>
      </c>
      <c r="AI226" s="131">
        <v>-15.7</v>
      </c>
      <c r="AJ226" s="513"/>
      <c r="AK226" s="235">
        <v>-24</v>
      </c>
      <c r="AL226" s="513">
        <v>-13.2</v>
      </c>
      <c r="AM226" s="513"/>
      <c r="AN226" s="235">
        <v>-22.9</v>
      </c>
      <c r="AO226" s="513">
        <v>-35.200000000000003</v>
      </c>
      <c r="AP226" s="513"/>
      <c r="AQ226" s="235">
        <v>-34.5</v>
      </c>
      <c r="AR226" s="513">
        <v>-22</v>
      </c>
      <c r="AS226" s="513"/>
      <c r="AT226" s="235">
        <v>-16.2</v>
      </c>
      <c r="AU226" s="513">
        <v>-0.8</v>
      </c>
      <c r="AV226" s="513"/>
      <c r="AW226" s="235">
        <v>-13</v>
      </c>
      <c r="AX226" s="513">
        <v>-10.199999999999999</v>
      </c>
      <c r="AY226" s="513"/>
      <c r="AZ226" s="235">
        <v>-14.8</v>
      </c>
    </row>
    <row r="227" spans="2:52" s="225" customFormat="1" ht="15" customHeight="1" x14ac:dyDescent="0.3">
      <c r="B227" s="362" t="s">
        <v>12</v>
      </c>
      <c r="C227" s="542"/>
      <c r="D227" s="542"/>
      <c r="E227" s="542"/>
      <c r="F227" s="542"/>
      <c r="G227" s="542"/>
      <c r="H227" s="542"/>
      <c r="I227" s="542"/>
      <c r="J227" s="542"/>
      <c r="K227" s="542"/>
      <c r="L227" s="542"/>
      <c r="M227" s="542"/>
      <c r="N227" s="542"/>
      <c r="O227" s="542"/>
      <c r="P227" s="542"/>
      <c r="Q227" s="542"/>
      <c r="R227" s="542"/>
      <c r="S227" s="542"/>
      <c r="T227" s="131" t="s">
        <v>3</v>
      </c>
      <c r="U227" s="131"/>
      <c r="V227" s="235" t="s">
        <v>3</v>
      </c>
      <c r="W227" s="131" t="s">
        <v>3</v>
      </c>
      <c r="X227" s="131"/>
      <c r="Y227" s="235" t="s">
        <v>3</v>
      </c>
      <c r="Z227" s="131">
        <v>-0.2</v>
      </c>
      <c r="AA227" s="131"/>
      <c r="AB227" s="235">
        <v>0</v>
      </c>
      <c r="AC227" s="131">
        <v>-0.4</v>
      </c>
      <c r="AD227" s="131"/>
      <c r="AE227" s="235">
        <v>-0.1</v>
      </c>
      <c r="AF227" s="131">
        <v>0</v>
      </c>
      <c r="AG227" s="131"/>
      <c r="AH227" s="235">
        <v>-0.1</v>
      </c>
      <c r="AI227" s="131" t="s">
        <v>3</v>
      </c>
      <c r="AJ227" s="513"/>
      <c r="AK227" s="235" t="s">
        <v>3</v>
      </c>
      <c r="AL227" s="513" t="s">
        <v>3</v>
      </c>
      <c r="AM227" s="513"/>
      <c r="AN227" s="235" t="s">
        <v>3</v>
      </c>
      <c r="AO227" s="513" t="s">
        <v>3</v>
      </c>
      <c r="AP227" s="513"/>
      <c r="AQ227" s="235">
        <v>-0.1</v>
      </c>
      <c r="AR227" s="513" t="s">
        <v>3</v>
      </c>
      <c r="AS227" s="513"/>
      <c r="AT227" s="235">
        <v>0</v>
      </c>
      <c r="AU227" s="513">
        <v>0</v>
      </c>
      <c r="AV227" s="513"/>
      <c r="AW227" s="235">
        <v>0</v>
      </c>
      <c r="AX227" s="513">
        <v>0</v>
      </c>
      <c r="AY227" s="513"/>
      <c r="AZ227" s="235">
        <v>0</v>
      </c>
    </row>
    <row r="228" spans="2:52" s="225" customFormat="1" ht="15" customHeight="1" x14ac:dyDescent="0.3">
      <c r="B228" s="362" t="s">
        <v>17</v>
      </c>
      <c r="C228" s="542"/>
      <c r="D228" s="542"/>
      <c r="E228" s="542"/>
      <c r="F228" s="542"/>
      <c r="G228" s="542"/>
      <c r="H228" s="542"/>
      <c r="I228" s="542"/>
      <c r="J228" s="542"/>
      <c r="K228" s="542"/>
      <c r="L228" s="542"/>
      <c r="M228" s="542"/>
      <c r="N228" s="542"/>
      <c r="O228" s="542"/>
      <c r="P228" s="542"/>
      <c r="Q228" s="542"/>
      <c r="R228" s="542"/>
      <c r="S228" s="542"/>
      <c r="T228" s="131">
        <v>-0.7</v>
      </c>
      <c r="U228" s="131"/>
      <c r="V228" s="235">
        <v>-0.5</v>
      </c>
      <c r="W228" s="131">
        <v>-0.5</v>
      </c>
      <c r="X228" s="131"/>
      <c r="Y228" s="235">
        <v>-1.1000000000000001</v>
      </c>
      <c r="Z228" s="131">
        <v>-1.1000000000000001</v>
      </c>
      <c r="AA228" s="131"/>
      <c r="AB228" s="235">
        <v>-0.4</v>
      </c>
      <c r="AC228" s="131" t="s">
        <v>3</v>
      </c>
      <c r="AD228" s="131"/>
      <c r="AE228" s="235" t="s">
        <v>3</v>
      </c>
      <c r="AF228" s="131" t="s">
        <v>3</v>
      </c>
      <c r="AG228" s="131"/>
      <c r="AH228" s="235" t="s">
        <v>3</v>
      </c>
      <c r="AI228" s="131" t="s">
        <v>3</v>
      </c>
      <c r="AJ228" s="513"/>
      <c r="AK228" s="235" t="s">
        <v>3</v>
      </c>
      <c r="AL228" s="513" t="s">
        <v>3</v>
      </c>
      <c r="AM228" s="513"/>
      <c r="AN228" s="235" t="s">
        <v>3</v>
      </c>
      <c r="AO228" s="513" t="s">
        <v>3</v>
      </c>
      <c r="AP228" s="513"/>
      <c r="AQ228" s="235" t="s">
        <v>3</v>
      </c>
      <c r="AR228" s="513" t="s">
        <v>3</v>
      </c>
      <c r="AS228" s="513"/>
      <c r="AT228" s="235">
        <v>0</v>
      </c>
      <c r="AU228" s="513">
        <v>0</v>
      </c>
      <c r="AV228" s="513"/>
      <c r="AW228" s="235">
        <v>-39.1</v>
      </c>
      <c r="AX228" s="513">
        <v>0</v>
      </c>
      <c r="AY228" s="513"/>
      <c r="AZ228" s="235">
        <v>-36.5</v>
      </c>
    </row>
    <row r="229" spans="2:52" s="225" customFormat="1" ht="15" customHeight="1" x14ac:dyDescent="0.3">
      <c r="B229" s="362" t="s">
        <v>18</v>
      </c>
      <c r="C229" s="542"/>
      <c r="D229" s="542"/>
      <c r="E229" s="542"/>
      <c r="F229" s="542"/>
      <c r="G229" s="542"/>
      <c r="H229" s="542"/>
      <c r="I229" s="542"/>
      <c r="J229" s="542"/>
      <c r="K229" s="542"/>
      <c r="L229" s="542"/>
      <c r="M229" s="542"/>
      <c r="N229" s="542"/>
      <c r="O229" s="542"/>
      <c r="P229" s="542"/>
      <c r="Q229" s="542"/>
      <c r="R229" s="542"/>
      <c r="S229" s="542"/>
      <c r="T229" s="131">
        <v>0</v>
      </c>
      <c r="U229" s="131"/>
      <c r="V229" s="235" t="s">
        <v>3</v>
      </c>
      <c r="W229" s="131" t="s">
        <v>3</v>
      </c>
      <c r="X229" s="131"/>
      <c r="Y229" s="235" t="s">
        <v>3</v>
      </c>
      <c r="Z229" s="131" t="s">
        <v>3</v>
      </c>
      <c r="AA229" s="131"/>
      <c r="AB229" s="235">
        <v>-13.6</v>
      </c>
      <c r="AC229" s="131">
        <v>-13.7</v>
      </c>
      <c r="AD229" s="131"/>
      <c r="AE229" s="235">
        <v>0</v>
      </c>
      <c r="AF229" s="131" t="s">
        <v>3</v>
      </c>
      <c r="AG229" s="131"/>
      <c r="AH229" s="235" t="s">
        <v>3</v>
      </c>
      <c r="AI229" s="131" t="s">
        <v>3</v>
      </c>
      <c r="AJ229" s="513"/>
      <c r="AK229" s="235" t="s">
        <v>3</v>
      </c>
      <c r="AL229" s="513" t="s">
        <v>3</v>
      </c>
      <c r="AM229" s="513"/>
      <c r="AN229" s="235" t="s">
        <v>3</v>
      </c>
      <c r="AO229" s="513" t="s">
        <v>3</v>
      </c>
      <c r="AP229" s="513"/>
      <c r="AQ229" s="235" t="s">
        <v>3</v>
      </c>
      <c r="AR229" s="513" t="s">
        <v>3</v>
      </c>
      <c r="AS229" s="513"/>
      <c r="AT229" s="235">
        <v>0</v>
      </c>
      <c r="AU229" s="513">
        <v>0</v>
      </c>
      <c r="AV229" s="513"/>
      <c r="AW229" s="235">
        <v>0</v>
      </c>
      <c r="AX229" s="513">
        <v>0</v>
      </c>
      <c r="AY229" s="513"/>
      <c r="AZ229" s="235">
        <v>0</v>
      </c>
    </row>
    <row r="230" spans="2:52" s="225" customFormat="1" ht="15" customHeight="1" thickBot="1" x14ac:dyDescent="0.35">
      <c r="B230" s="362" t="s">
        <v>19</v>
      </c>
      <c r="C230" s="542"/>
      <c r="D230" s="542"/>
      <c r="E230" s="542"/>
      <c r="F230" s="542"/>
      <c r="G230" s="542"/>
      <c r="H230" s="542"/>
      <c r="I230" s="542"/>
      <c r="J230" s="542"/>
      <c r="K230" s="542"/>
      <c r="L230" s="542"/>
      <c r="M230" s="542"/>
      <c r="N230" s="542"/>
      <c r="O230" s="542"/>
      <c r="P230" s="542"/>
      <c r="Q230" s="542"/>
      <c r="R230" s="542"/>
      <c r="S230" s="542"/>
      <c r="T230" s="131">
        <v>-3.1</v>
      </c>
      <c r="U230" s="131"/>
      <c r="V230" s="235">
        <v>-3</v>
      </c>
      <c r="W230" s="131">
        <v>-2.9</v>
      </c>
      <c r="X230" s="131"/>
      <c r="Y230" s="235">
        <v>-3.1</v>
      </c>
      <c r="Z230" s="131">
        <v>-2.9</v>
      </c>
      <c r="AA230" s="131"/>
      <c r="AB230" s="235">
        <v>-2.6</v>
      </c>
      <c r="AC230" s="131">
        <v>-1.2</v>
      </c>
      <c r="AD230" s="131"/>
      <c r="AE230" s="235">
        <v>-1.2</v>
      </c>
      <c r="AF230" s="131">
        <v>-0.8</v>
      </c>
      <c r="AG230" s="131"/>
      <c r="AH230" s="235">
        <v>-1.1000000000000001</v>
      </c>
      <c r="AI230" s="131">
        <v>-0.5</v>
      </c>
      <c r="AJ230" s="513"/>
      <c r="AK230" s="235">
        <v>-16.8</v>
      </c>
      <c r="AL230" s="513">
        <v>-12</v>
      </c>
      <c r="AM230" s="513"/>
      <c r="AN230" s="235">
        <v>-10</v>
      </c>
      <c r="AO230" s="513">
        <v>-13.4</v>
      </c>
      <c r="AP230" s="513"/>
      <c r="AQ230" s="235">
        <v>-12.7</v>
      </c>
      <c r="AR230" s="513">
        <v>-11.5</v>
      </c>
      <c r="AS230" s="513"/>
      <c r="AT230" s="235">
        <v>-10.8</v>
      </c>
      <c r="AU230" s="513">
        <v>-16.3</v>
      </c>
      <c r="AV230" s="513"/>
      <c r="AW230" s="235">
        <v>-24</v>
      </c>
      <c r="AX230" s="513">
        <v>-20.7</v>
      </c>
      <c r="AY230" s="513"/>
      <c r="AZ230" s="235">
        <v>-25.6</v>
      </c>
    </row>
    <row r="231" spans="2:52" s="225" customFormat="1" ht="15" customHeight="1" x14ac:dyDescent="0.3">
      <c r="B231" s="635"/>
      <c r="C231" s="636"/>
      <c r="D231" s="636"/>
      <c r="E231" s="636"/>
      <c r="F231" s="636"/>
      <c r="G231" s="636"/>
      <c r="H231" s="636"/>
      <c r="I231" s="636"/>
      <c r="J231" s="636"/>
      <c r="K231" s="636"/>
      <c r="L231" s="636"/>
      <c r="M231" s="636"/>
      <c r="N231" s="636"/>
      <c r="O231" s="636"/>
      <c r="P231" s="636"/>
      <c r="Q231" s="636"/>
      <c r="R231" s="636"/>
      <c r="S231" s="636"/>
      <c r="T231" s="331">
        <f t="shared" ref="T231:AE231" si="510">SUM(T224:T230)</f>
        <v>-421.9</v>
      </c>
      <c r="U231" s="331"/>
      <c r="V231" s="561">
        <f t="shared" si="510"/>
        <v>-501.7</v>
      </c>
      <c r="W231" s="331">
        <f t="shared" si="510"/>
        <v>-458.7</v>
      </c>
      <c r="X231" s="331"/>
      <c r="Y231" s="561">
        <f t="shared" si="510"/>
        <v>-604.6</v>
      </c>
      <c r="Z231" s="331">
        <f t="shared" si="510"/>
        <v>-563.1</v>
      </c>
      <c r="AA231" s="331"/>
      <c r="AB231" s="561">
        <f t="shared" si="510"/>
        <v>-716.6</v>
      </c>
      <c r="AC231" s="331">
        <f t="shared" si="510"/>
        <v>-678.1</v>
      </c>
      <c r="AD231" s="331"/>
      <c r="AE231" s="561">
        <f t="shared" si="510"/>
        <v>-784.7</v>
      </c>
      <c r="AF231" s="331">
        <f>SUM(AF224:AF230)</f>
        <v>-675.99999999999989</v>
      </c>
      <c r="AG231" s="331"/>
      <c r="AH231" s="561">
        <f t="shared" ref="AH231" si="511">SUM(AH224:AH230)</f>
        <v>-785.90000000000009</v>
      </c>
      <c r="AI231" s="331">
        <f>SUM(AI224:AI230)</f>
        <v>-658.50000000000011</v>
      </c>
      <c r="AJ231" s="637"/>
      <c r="AK231" s="561">
        <f t="shared" ref="AK231" si="512">SUM(AK224:AK230)</f>
        <v>-884.89999999999986</v>
      </c>
      <c r="AL231" s="331">
        <f>SUM(AL224:AL230)</f>
        <v>-662.6</v>
      </c>
      <c r="AM231" s="637"/>
      <c r="AN231" s="561">
        <f t="shared" ref="AN231" si="513">SUM(AN224:AN230)</f>
        <v>-823</v>
      </c>
      <c r="AO231" s="331">
        <f>SUM(AO224:AO230)</f>
        <v>-773.90000000000009</v>
      </c>
      <c r="AP231" s="637"/>
      <c r="AQ231" s="561">
        <f t="shared" ref="AQ231" si="514">SUM(AQ224:AQ230)</f>
        <v>-1116.8999999999999</v>
      </c>
      <c r="AR231" s="331">
        <f>SUM(AR224:AR230)</f>
        <v>-969.90000000000009</v>
      </c>
      <c r="AS231" s="637"/>
      <c r="AT231" s="561">
        <f t="shared" ref="AT231" si="515">SUM(AT224:AT230)</f>
        <v>-1059.5999999999999</v>
      </c>
      <c r="AU231" s="331">
        <f>SUM(AU224:AU230)</f>
        <v>-924.69999999999993</v>
      </c>
      <c r="AV231" s="637"/>
      <c r="AW231" s="561">
        <f>SUM(AW224:AW230)</f>
        <v>-1046.9000000000001</v>
      </c>
      <c r="AX231" s="331">
        <f>SUM(AX224:AX230)</f>
        <v>-969.1</v>
      </c>
      <c r="AY231" s="637"/>
      <c r="AZ231" s="561">
        <f>SUM(AZ224:AZ230)</f>
        <v>-1048.5999999999999</v>
      </c>
    </row>
    <row r="232" spans="2:52" s="225" customFormat="1" ht="15" customHeight="1" x14ac:dyDescent="0.3">
      <c r="B232" s="364" t="s">
        <v>20</v>
      </c>
      <c r="C232" s="548"/>
      <c r="D232" s="548"/>
      <c r="E232" s="548"/>
      <c r="F232" s="548"/>
      <c r="G232" s="548"/>
      <c r="H232" s="548"/>
      <c r="I232" s="548"/>
      <c r="J232" s="548"/>
      <c r="K232" s="548"/>
      <c r="L232" s="548"/>
      <c r="M232" s="548"/>
      <c r="N232" s="548"/>
      <c r="O232" s="548"/>
      <c r="P232" s="548"/>
      <c r="Q232" s="548"/>
      <c r="R232" s="548"/>
      <c r="S232" s="548"/>
      <c r="T232" s="332"/>
      <c r="U232" s="332"/>
      <c r="V232" s="555"/>
      <c r="W232" s="332"/>
      <c r="X232" s="332"/>
      <c r="Y232" s="555"/>
      <c r="Z232" s="332"/>
      <c r="AA232" s="332"/>
      <c r="AB232" s="555"/>
      <c r="AC232" s="332"/>
      <c r="AD232" s="332"/>
      <c r="AE232" s="555"/>
      <c r="AF232" s="332"/>
      <c r="AG232" s="332"/>
      <c r="AH232" s="555"/>
      <c r="AI232" s="332"/>
      <c r="AJ232" s="571"/>
      <c r="AK232" s="555"/>
      <c r="AL232" s="571"/>
      <c r="AM232" s="571"/>
      <c r="AN232" s="555"/>
      <c r="AO232" s="571"/>
      <c r="AP232" s="571"/>
      <c r="AQ232" s="555"/>
      <c r="AR232" s="571"/>
      <c r="AS232" s="571"/>
      <c r="AT232" s="555"/>
      <c r="AU232" s="571"/>
      <c r="AV232" s="571"/>
      <c r="AW232" s="555"/>
      <c r="AX232" s="571"/>
      <c r="AY232" s="571"/>
      <c r="AZ232" s="555"/>
    </row>
    <row r="233" spans="2:52" s="225" customFormat="1" ht="15" customHeight="1" x14ac:dyDescent="0.3">
      <c r="B233" s="362" t="s">
        <v>21</v>
      </c>
      <c r="C233" s="542"/>
      <c r="D233" s="542"/>
      <c r="E233" s="542"/>
      <c r="F233" s="542"/>
      <c r="G233" s="542"/>
      <c r="H233" s="542"/>
      <c r="I233" s="542"/>
      <c r="J233" s="542"/>
      <c r="K233" s="542"/>
      <c r="L233" s="542"/>
      <c r="M233" s="542"/>
      <c r="N233" s="542"/>
      <c r="O233" s="542"/>
      <c r="P233" s="542"/>
      <c r="Q233" s="542"/>
      <c r="R233" s="542"/>
      <c r="S233" s="542"/>
      <c r="T233" s="131">
        <v>-135</v>
      </c>
      <c r="U233" s="131"/>
      <c r="V233" s="235">
        <v>-100</v>
      </c>
      <c r="W233" s="131">
        <v>-120</v>
      </c>
      <c r="X233" s="131"/>
      <c r="Y233" s="235">
        <v>-25</v>
      </c>
      <c r="Z233" s="131">
        <v>-65</v>
      </c>
      <c r="AA233" s="131"/>
      <c r="AB233" s="235">
        <v>0</v>
      </c>
      <c r="AC233" s="131">
        <v>-80</v>
      </c>
      <c r="AD233" s="131"/>
      <c r="AE233" s="235">
        <v>0</v>
      </c>
      <c r="AF233" s="131">
        <v>-85</v>
      </c>
      <c r="AG233" s="131"/>
      <c r="AH233" s="235">
        <v>0</v>
      </c>
      <c r="AI233" s="131">
        <v>-90</v>
      </c>
      <c r="AJ233" s="513"/>
      <c r="AK233" s="235">
        <v>0</v>
      </c>
      <c r="AL233" s="513" t="s">
        <v>3</v>
      </c>
      <c r="AM233" s="513"/>
      <c r="AN233" s="235">
        <v>0</v>
      </c>
      <c r="AO233" s="513" t="s">
        <v>3</v>
      </c>
      <c r="AP233" s="513"/>
      <c r="AQ233" s="235" t="s">
        <v>3</v>
      </c>
      <c r="AR233" s="513">
        <v>-90</v>
      </c>
      <c r="AS233" s="513"/>
      <c r="AT233" s="235">
        <v>-10</v>
      </c>
      <c r="AU233" s="513">
        <v>-85</v>
      </c>
      <c r="AV233" s="513"/>
      <c r="AW233" s="235">
        <v>-65</v>
      </c>
      <c r="AX233" s="513">
        <v>-125</v>
      </c>
      <c r="AY233" s="513"/>
      <c r="AZ233" s="235">
        <v>-95</v>
      </c>
    </row>
    <row r="234" spans="2:52" s="225" customFormat="1" ht="15" customHeight="1" x14ac:dyDescent="0.3">
      <c r="B234" s="362" t="s">
        <v>580</v>
      </c>
      <c r="C234" s="542"/>
      <c r="D234" s="542"/>
      <c r="E234" s="542"/>
      <c r="F234" s="542"/>
      <c r="G234" s="542"/>
      <c r="H234" s="542"/>
      <c r="I234" s="542"/>
      <c r="J234" s="542"/>
      <c r="K234" s="542"/>
      <c r="L234" s="542"/>
      <c r="M234" s="542"/>
      <c r="N234" s="542"/>
      <c r="O234" s="542"/>
      <c r="P234" s="542"/>
      <c r="Q234" s="542"/>
      <c r="R234" s="542"/>
      <c r="S234" s="542"/>
      <c r="T234" s="131">
        <v>-8.1999999999999993</v>
      </c>
      <c r="U234" s="131"/>
      <c r="V234" s="235">
        <v>-8.6</v>
      </c>
      <c r="W234" s="131">
        <v>-9.6999999999999993</v>
      </c>
      <c r="X234" s="131"/>
      <c r="Y234" s="235">
        <v>-11.2</v>
      </c>
      <c r="Z234" s="131">
        <v>-12.7</v>
      </c>
      <c r="AA234" s="131"/>
      <c r="AB234" s="235" t="s">
        <v>3</v>
      </c>
      <c r="AC234" s="131" t="s">
        <v>3</v>
      </c>
      <c r="AD234" s="131"/>
      <c r="AE234" s="235" t="s">
        <v>3</v>
      </c>
      <c r="AF234" s="131" t="s">
        <v>3</v>
      </c>
      <c r="AG234" s="131"/>
      <c r="AH234" s="235" t="s">
        <v>3</v>
      </c>
      <c r="AI234" s="131" t="s">
        <v>3</v>
      </c>
      <c r="AJ234" s="513"/>
      <c r="AK234" s="235" t="s">
        <v>3</v>
      </c>
      <c r="AL234" s="513" t="s">
        <v>3</v>
      </c>
      <c r="AM234" s="513"/>
      <c r="AN234" s="235" t="s">
        <v>3</v>
      </c>
      <c r="AO234" s="513" t="s">
        <v>3</v>
      </c>
      <c r="AP234" s="513"/>
      <c r="AQ234" s="235" t="s">
        <v>3</v>
      </c>
      <c r="AR234" s="513" t="s">
        <v>3</v>
      </c>
      <c r="AS234" s="513"/>
      <c r="AT234" s="235">
        <v>0</v>
      </c>
      <c r="AU234" s="513">
        <v>0</v>
      </c>
      <c r="AV234" s="513"/>
      <c r="AW234" s="235">
        <v>0</v>
      </c>
      <c r="AX234" s="513">
        <v>0</v>
      </c>
      <c r="AY234" s="513"/>
      <c r="AZ234" s="235">
        <v>0</v>
      </c>
    </row>
    <row r="235" spans="2:52" s="225" customFormat="1" ht="15" customHeight="1" x14ac:dyDescent="0.3">
      <c r="B235" s="362" t="s">
        <v>15</v>
      </c>
      <c r="C235" s="542"/>
      <c r="D235" s="542"/>
      <c r="E235" s="542"/>
      <c r="F235" s="542"/>
      <c r="G235" s="542"/>
      <c r="H235" s="542"/>
      <c r="I235" s="542"/>
      <c r="J235" s="542"/>
      <c r="K235" s="542"/>
      <c r="L235" s="542"/>
      <c r="M235" s="542"/>
      <c r="N235" s="542"/>
      <c r="O235" s="542"/>
      <c r="P235" s="542"/>
      <c r="Q235" s="542"/>
      <c r="R235" s="542"/>
      <c r="S235" s="542"/>
      <c r="T235" s="131">
        <v>0</v>
      </c>
      <c r="U235" s="131"/>
      <c r="V235" s="235" t="s">
        <v>3</v>
      </c>
      <c r="W235" s="131" t="s">
        <v>3</v>
      </c>
      <c r="X235" s="131"/>
      <c r="Y235" s="235" t="s">
        <v>3</v>
      </c>
      <c r="Z235" s="131" t="s">
        <v>3</v>
      </c>
      <c r="AA235" s="131"/>
      <c r="AB235" s="235" t="s">
        <v>3</v>
      </c>
      <c r="AC235" s="131" t="s">
        <v>3</v>
      </c>
      <c r="AD235" s="131"/>
      <c r="AE235" s="235" t="s">
        <v>3</v>
      </c>
      <c r="AF235" s="131" t="s">
        <v>3</v>
      </c>
      <c r="AG235" s="131"/>
      <c r="AH235" s="235" t="s">
        <v>3</v>
      </c>
      <c r="AI235" s="131" t="s">
        <v>3</v>
      </c>
      <c r="AJ235" s="513"/>
      <c r="AK235" s="235" t="s">
        <v>3</v>
      </c>
      <c r="AL235" s="513" t="s">
        <v>3</v>
      </c>
      <c r="AM235" s="513"/>
      <c r="AN235" s="235" t="s">
        <v>3</v>
      </c>
      <c r="AO235" s="513" t="s">
        <v>3</v>
      </c>
      <c r="AP235" s="513"/>
      <c r="AQ235" s="235" t="s">
        <v>3</v>
      </c>
      <c r="AR235" s="513" t="s">
        <v>3</v>
      </c>
      <c r="AS235" s="513"/>
      <c r="AT235" s="235">
        <v>0</v>
      </c>
      <c r="AU235" s="513">
        <v>0</v>
      </c>
      <c r="AV235" s="513"/>
      <c r="AW235" s="235">
        <v>0</v>
      </c>
      <c r="AX235" s="513">
        <v>0</v>
      </c>
      <c r="AY235" s="513"/>
      <c r="AZ235" s="235">
        <v>0</v>
      </c>
    </row>
    <row r="236" spans="2:52" s="225" customFormat="1" ht="15" customHeight="1" x14ac:dyDescent="0.3">
      <c r="B236" s="362" t="s">
        <v>22</v>
      </c>
      <c r="C236" s="542"/>
      <c r="D236" s="542"/>
      <c r="E236" s="542"/>
      <c r="F236" s="542"/>
      <c r="G236" s="542"/>
      <c r="H236" s="542"/>
      <c r="I236" s="542"/>
      <c r="J236" s="542"/>
      <c r="K236" s="542"/>
      <c r="L236" s="542"/>
      <c r="M236" s="542"/>
      <c r="N236" s="542"/>
      <c r="O236" s="542"/>
      <c r="P236" s="542"/>
      <c r="Q236" s="542"/>
      <c r="R236" s="542"/>
      <c r="S236" s="542"/>
      <c r="T236" s="131">
        <v>-92.9</v>
      </c>
      <c r="U236" s="131"/>
      <c r="V236" s="235">
        <v>-58.7</v>
      </c>
      <c r="W236" s="131">
        <v>-82.7</v>
      </c>
      <c r="X236" s="131"/>
      <c r="Y236" s="235">
        <v>-14.3</v>
      </c>
      <c r="Z236" s="131">
        <v>-20.5</v>
      </c>
      <c r="AA236" s="131"/>
      <c r="AB236" s="235">
        <v>-0.2</v>
      </c>
      <c r="AC236" s="131" t="s">
        <v>3</v>
      </c>
      <c r="AD236" s="131"/>
      <c r="AE236" s="235" t="s">
        <v>3</v>
      </c>
      <c r="AF236" s="131" t="s">
        <v>3</v>
      </c>
      <c r="AG236" s="131"/>
      <c r="AH236" s="235" t="s">
        <v>3</v>
      </c>
      <c r="AI236" s="131" t="s">
        <v>3</v>
      </c>
      <c r="AJ236" s="513"/>
      <c r="AK236" s="235" t="s">
        <v>3</v>
      </c>
      <c r="AL236" s="513" t="s">
        <v>3</v>
      </c>
      <c r="AM236" s="513"/>
      <c r="AN236" s="235" t="s">
        <v>3</v>
      </c>
      <c r="AO236" s="513" t="s">
        <v>3</v>
      </c>
      <c r="AP236" s="513"/>
      <c r="AQ236" s="235" t="s">
        <v>3</v>
      </c>
      <c r="AR236" s="513" t="s">
        <v>3</v>
      </c>
      <c r="AS236" s="513"/>
      <c r="AT236" s="235">
        <v>0</v>
      </c>
      <c r="AU236" s="513">
        <v>0</v>
      </c>
      <c r="AV236" s="513"/>
      <c r="AW236" s="235">
        <v>0</v>
      </c>
      <c r="AX236" s="513">
        <v>0</v>
      </c>
      <c r="AY236" s="513"/>
      <c r="AZ236" s="235">
        <v>0</v>
      </c>
    </row>
    <row r="237" spans="2:52" s="225" customFormat="1" ht="15" customHeight="1" x14ac:dyDescent="0.3">
      <c r="B237" s="362" t="s">
        <v>529</v>
      </c>
      <c r="C237" s="542"/>
      <c r="D237" s="542"/>
      <c r="E237" s="542"/>
      <c r="F237" s="542"/>
      <c r="G237" s="542"/>
      <c r="H237" s="542"/>
      <c r="I237" s="542"/>
      <c r="J237" s="542"/>
      <c r="K237" s="542"/>
      <c r="L237" s="542"/>
      <c r="M237" s="542"/>
      <c r="N237" s="542"/>
      <c r="O237" s="542"/>
      <c r="P237" s="542"/>
      <c r="Q237" s="542"/>
      <c r="R237" s="542"/>
      <c r="S237" s="542"/>
      <c r="T237" s="131">
        <v>0</v>
      </c>
      <c r="U237" s="131"/>
      <c r="V237" s="235" t="s">
        <v>3</v>
      </c>
      <c r="W237" s="131" t="s">
        <v>3</v>
      </c>
      <c r="X237" s="131"/>
      <c r="Y237" s="235" t="s">
        <v>3</v>
      </c>
      <c r="Z237" s="131" t="s">
        <v>3</v>
      </c>
      <c r="AA237" s="131"/>
      <c r="AB237" s="235" t="s">
        <v>3</v>
      </c>
      <c r="AC237" s="131">
        <v>0</v>
      </c>
      <c r="AD237" s="131"/>
      <c r="AE237" s="235">
        <v>-17.3</v>
      </c>
      <c r="AF237" s="131">
        <v>-6.4</v>
      </c>
      <c r="AG237" s="131"/>
      <c r="AH237" s="235">
        <v>-8.4</v>
      </c>
      <c r="AI237" s="131">
        <v>-10</v>
      </c>
      <c r="AJ237" s="513"/>
      <c r="AK237" s="235">
        <v>-6.9</v>
      </c>
      <c r="AL237" s="513" t="s">
        <v>3</v>
      </c>
      <c r="AM237" s="513"/>
      <c r="AN237" s="235">
        <v>-4.9000000000000004</v>
      </c>
      <c r="AO237" s="513">
        <v>-11.7</v>
      </c>
      <c r="AP237" s="513"/>
      <c r="AQ237" s="235">
        <v>-10</v>
      </c>
      <c r="AR237" s="513">
        <v>-4.4000000000000004</v>
      </c>
      <c r="AS237" s="513"/>
      <c r="AT237" s="235">
        <v>-2.8</v>
      </c>
      <c r="AU237" s="513">
        <v>-2.9</v>
      </c>
      <c r="AV237" s="513"/>
      <c r="AW237" s="235">
        <v>0</v>
      </c>
      <c r="AX237" s="513">
        <v>0</v>
      </c>
      <c r="AY237" s="513"/>
      <c r="AZ237" s="235">
        <v>0</v>
      </c>
    </row>
    <row r="238" spans="2:52" s="225" customFormat="1" ht="15" customHeight="1" x14ac:dyDescent="0.3">
      <c r="B238" s="362" t="s">
        <v>598</v>
      </c>
      <c r="C238" s="542"/>
      <c r="D238" s="542"/>
      <c r="E238" s="542"/>
      <c r="F238" s="542"/>
      <c r="G238" s="542"/>
      <c r="H238" s="542"/>
      <c r="I238" s="542"/>
      <c r="J238" s="542"/>
      <c r="K238" s="542"/>
      <c r="L238" s="542"/>
      <c r="M238" s="542"/>
      <c r="N238" s="542"/>
      <c r="O238" s="542"/>
      <c r="P238" s="542"/>
      <c r="Q238" s="542"/>
      <c r="R238" s="542"/>
      <c r="S238" s="542"/>
      <c r="T238" s="131">
        <v>0</v>
      </c>
      <c r="U238" s="131"/>
      <c r="V238" s="235" t="s">
        <v>3</v>
      </c>
      <c r="W238" s="131" t="s">
        <v>3</v>
      </c>
      <c r="X238" s="131"/>
      <c r="Y238" s="235" t="s">
        <v>3</v>
      </c>
      <c r="Z238" s="131" t="s">
        <v>3</v>
      </c>
      <c r="AA238" s="131"/>
      <c r="AB238" s="235" t="s">
        <v>3</v>
      </c>
      <c r="AC238" s="131" t="s">
        <v>3</v>
      </c>
      <c r="AD238" s="131"/>
      <c r="AE238" s="235" t="s">
        <v>3</v>
      </c>
      <c r="AF238" s="131" t="s">
        <v>3</v>
      </c>
      <c r="AG238" s="131"/>
      <c r="AH238" s="235" t="s">
        <v>3</v>
      </c>
      <c r="AI238" s="131">
        <v>-187.4</v>
      </c>
      <c r="AJ238" s="513"/>
      <c r="AK238" s="235">
        <v>-184.9</v>
      </c>
      <c r="AL238" s="513">
        <v>-184.7</v>
      </c>
      <c r="AM238" s="513"/>
      <c r="AN238" s="235">
        <v>-164.2</v>
      </c>
      <c r="AO238" s="513">
        <v>-157.1</v>
      </c>
      <c r="AP238" s="513"/>
      <c r="AQ238" s="235">
        <v>-145.30000000000001</v>
      </c>
      <c r="AR238" s="513">
        <v>-147.5</v>
      </c>
      <c r="AS238" s="513"/>
      <c r="AT238" s="235">
        <v>-148.5</v>
      </c>
      <c r="AU238" s="513">
        <v>-149.19999999999999</v>
      </c>
      <c r="AV238" s="513"/>
      <c r="AW238" s="235">
        <v>-135.1</v>
      </c>
      <c r="AX238" s="513">
        <v>-122.1</v>
      </c>
      <c r="AY238" s="513"/>
      <c r="AZ238" s="235">
        <v>-140.9</v>
      </c>
    </row>
    <row r="239" spans="2:52" s="225" customFormat="1" ht="15" customHeight="1" thickBot="1" x14ac:dyDescent="0.35">
      <c r="B239" s="552" t="s">
        <v>19</v>
      </c>
      <c r="C239" s="553"/>
      <c r="D239" s="553"/>
      <c r="E239" s="553"/>
      <c r="F239" s="553"/>
      <c r="G239" s="553"/>
      <c r="H239" s="553"/>
      <c r="I239" s="553"/>
      <c r="J239" s="553"/>
      <c r="K239" s="553"/>
      <c r="L239" s="553"/>
      <c r="M239" s="553"/>
      <c r="N239" s="553"/>
      <c r="O239" s="553"/>
      <c r="P239" s="553"/>
      <c r="Q239" s="553"/>
      <c r="R239" s="553"/>
      <c r="S239" s="553"/>
      <c r="T239" s="324">
        <v>-12</v>
      </c>
      <c r="U239" s="324"/>
      <c r="V239" s="554">
        <v>-11.9</v>
      </c>
      <c r="W239" s="324">
        <v>-11.9</v>
      </c>
      <c r="X239" s="324"/>
      <c r="Y239" s="554">
        <v>-6.2</v>
      </c>
      <c r="Z239" s="324">
        <v>-6.2</v>
      </c>
      <c r="AA239" s="324"/>
      <c r="AB239" s="554">
        <v>-6.2</v>
      </c>
      <c r="AC239" s="324">
        <v>-6.4</v>
      </c>
      <c r="AD239" s="324"/>
      <c r="AE239" s="554">
        <v>-6.2</v>
      </c>
      <c r="AF239" s="324">
        <v>-6.3</v>
      </c>
      <c r="AG239" s="324"/>
      <c r="AH239" s="554">
        <v>-7.1</v>
      </c>
      <c r="AI239" s="324">
        <v>-7.1</v>
      </c>
      <c r="AJ239" s="638"/>
      <c r="AK239" s="554">
        <v>-9.8000000000000007</v>
      </c>
      <c r="AL239" s="638">
        <v>-9.6999999999999993</v>
      </c>
      <c r="AM239" s="638"/>
      <c r="AN239" s="554">
        <v>-9.6</v>
      </c>
      <c r="AO239" s="638">
        <v>-9.4</v>
      </c>
      <c r="AP239" s="638"/>
      <c r="AQ239" s="554">
        <v>-9</v>
      </c>
      <c r="AR239" s="638">
        <v>-8.9</v>
      </c>
      <c r="AS239" s="638"/>
      <c r="AT239" s="554">
        <v>-12.8</v>
      </c>
      <c r="AU239" s="638">
        <v>-9.1</v>
      </c>
      <c r="AV239" s="638"/>
      <c r="AW239" s="554">
        <v>-12.7</v>
      </c>
      <c r="AX239" s="638">
        <v>-17.600000000000001</v>
      </c>
      <c r="AY239" s="638"/>
      <c r="AZ239" s="554">
        <v>-17.899999999999999</v>
      </c>
    </row>
    <row r="240" spans="2:52" s="225" customFormat="1" ht="15" customHeight="1" thickBot="1" x14ac:dyDescent="0.35">
      <c r="B240" s="544"/>
      <c r="C240" s="553"/>
      <c r="D240" s="553"/>
      <c r="E240" s="553"/>
      <c r="F240" s="553"/>
      <c r="G240" s="553"/>
      <c r="H240" s="553"/>
      <c r="I240" s="553"/>
      <c r="J240" s="553"/>
      <c r="K240" s="553"/>
      <c r="L240" s="553"/>
      <c r="M240" s="553"/>
      <c r="N240" s="553"/>
      <c r="O240" s="553"/>
      <c r="P240" s="553"/>
      <c r="Q240" s="553"/>
      <c r="R240" s="553"/>
      <c r="S240" s="553"/>
      <c r="T240" s="325">
        <f t="shared" ref="T240:AE240" si="516">SUM(T233:T239)</f>
        <v>-248.1</v>
      </c>
      <c r="U240" s="325"/>
      <c r="V240" s="563">
        <f t="shared" si="516"/>
        <v>-179.20000000000002</v>
      </c>
      <c r="W240" s="325">
        <f t="shared" si="516"/>
        <v>-224.29999999999998</v>
      </c>
      <c r="X240" s="325"/>
      <c r="Y240" s="563">
        <f t="shared" si="516"/>
        <v>-56.7</v>
      </c>
      <c r="Z240" s="325">
        <f t="shared" si="516"/>
        <v>-104.4</v>
      </c>
      <c r="AA240" s="325"/>
      <c r="AB240" s="563">
        <f t="shared" si="516"/>
        <v>-6.4</v>
      </c>
      <c r="AC240" s="325">
        <f t="shared" si="516"/>
        <v>-86.4</v>
      </c>
      <c r="AD240" s="325"/>
      <c r="AE240" s="563">
        <f t="shared" si="516"/>
        <v>-23.5</v>
      </c>
      <c r="AF240" s="325">
        <f>SUM(AF233:AF239)</f>
        <v>-97.7</v>
      </c>
      <c r="AG240" s="325"/>
      <c r="AH240" s="563">
        <f t="shared" ref="AH240" si="517">SUM(AH233:AH239)</f>
        <v>-15.5</v>
      </c>
      <c r="AI240" s="325">
        <f>SUM(AI233:AI239)</f>
        <v>-294.5</v>
      </c>
      <c r="AJ240" s="639"/>
      <c r="AK240" s="563">
        <f t="shared" ref="AK240" si="518">SUM(AK233:AK239)</f>
        <v>-201.60000000000002</v>
      </c>
      <c r="AL240" s="325">
        <f>SUM(AL233:AL239)</f>
        <v>-194.39999999999998</v>
      </c>
      <c r="AM240" s="639"/>
      <c r="AN240" s="563">
        <f t="shared" ref="AN240" si="519">SUM(AN233:AN239)</f>
        <v>-178.7</v>
      </c>
      <c r="AO240" s="325">
        <f>SUM(AO233:AO239)</f>
        <v>-178.2</v>
      </c>
      <c r="AP240" s="639"/>
      <c r="AQ240" s="563">
        <f t="shared" ref="AQ240" si="520">SUM(AQ233:AQ239)</f>
        <v>-164.3</v>
      </c>
      <c r="AR240" s="325">
        <f>SUM(AR233:AR239)</f>
        <v>-250.8</v>
      </c>
      <c r="AS240" s="639"/>
      <c r="AT240" s="563">
        <f t="shared" ref="AT240" si="521">SUM(AT233:AT239)</f>
        <v>-174.10000000000002</v>
      </c>
      <c r="AU240" s="325">
        <f>SUM(AU233:AU239)</f>
        <v>-246.2</v>
      </c>
      <c r="AV240" s="639"/>
      <c r="AW240" s="563">
        <f>SUM(AW233:AW239)</f>
        <v>-212.79999999999998</v>
      </c>
      <c r="AX240" s="325">
        <f>SUM(AX233:AX239)</f>
        <v>-264.7</v>
      </c>
      <c r="AY240" s="639"/>
      <c r="AZ240" s="563">
        <f>SUM(AZ233:AZ239)</f>
        <v>-253.8</v>
      </c>
    </row>
    <row r="241" spans="2:52" s="225" customFormat="1" ht="15" customHeight="1" thickBot="1" x14ac:dyDescent="0.35">
      <c r="B241" s="363" t="s">
        <v>23</v>
      </c>
      <c r="C241" s="562"/>
      <c r="D241" s="562"/>
      <c r="E241" s="562"/>
      <c r="F241" s="562"/>
      <c r="G241" s="562"/>
      <c r="H241" s="562"/>
      <c r="I241" s="562"/>
      <c r="J241" s="562"/>
      <c r="K241" s="562"/>
      <c r="L241" s="562"/>
      <c r="M241" s="562"/>
      <c r="N241" s="562"/>
      <c r="O241" s="562"/>
      <c r="P241" s="562"/>
      <c r="Q241" s="562"/>
      <c r="R241" s="562"/>
      <c r="S241" s="562"/>
      <c r="T241" s="325">
        <v>-670</v>
      </c>
      <c r="U241" s="325"/>
      <c r="V241" s="563">
        <v>-680.9</v>
      </c>
      <c r="W241" s="325">
        <v>-683</v>
      </c>
      <c r="X241" s="325"/>
      <c r="Y241" s="563">
        <v>-661.3</v>
      </c>
      <c r="Z241" s="325">
        <v>-667.5</v>
      </c>
      <c r="AA241" s="325"/>
      <c r="AB241" s="563">
        <v>-723</v>
      </c>
      <c r="AC241" s="325">
        <v>-764.5</v>
      </c>
      <c r="AD241" s="325"/>
      <c r="AE241" s="563">
        <v>-808.2</v>
      </c>
      <c r="AF241" s="325">
        <v>-773.7</v>
      </c>
      <c r="AG241" s="325"/>
      <c r="AH241" s="563">
        <f>SUM(AH231,AH240)</f>
        <v>-801.40000000000009</v>
      </c>
      <c r="AI241" s="325">
        <f>SUM(AI231,AI240)</f>
        <v>-953.00000000000011</v>
      </c>
      <c r="AJ241" s="639"/>
      <c r="AK241" s="563">
        <f>SUM(AK231,AK240)</f>
        <v>-1086.5</v>
      </c>
      <c r="AL241" s="325">
        <f>SUM(AL231,AL240)</f>
        <v>-857</v>
      </c>
      <c r="AM241" s="639"/>
      <c r="AN241" s="563">
        <f>SUM(AN231,AN240)</f>
        <v>-1001.7</v>
      </c>
      <c r="AO241" s="325">
        <f>SUM(AO231,AO240)</f>
        <v>-952.10000000000014</v>
      </c>
      <c r="AP241" s="639"/>
      <c r="AQ241" s="563">
        <f>SUM(AQ231,AQ240)</f>
        <v>-1281.1999999999998</v>
      </c>
      <c r="AR241" s="325">
        <f>SUM(AR231,AR240)</f>
        <v>-1220.7</v>
      </c>
      <c r="AS241" s="639"/>
      <c r="AT241" s="563">
        <f>SUM(AT231,AT240)</f>
        <v>-1233.6999999999998</v>
      </c>
      <c r="AU241" s="325">
        <f>SUM(AU231,AU240)</f>
        <v>-1170.8999999999999</v>
      </c>
      <c r="AV241" s="639"/>
      <c r="AW241" s="563">
        <f>SUM(AW240+AW231)</f>
        <v>-1259.7</v>
      </c>
      <c r="AX241" s="325">
        <f>SUM(AX231,AX240)</f>
        <v>-1233.8</v>
      </c>
      <c r="AY241" s="639"/>
      <c r="AZ241" s="563">
        <f>SUM(AZ240+AZ231)</f>
        <v>-1302.3999999999999</v>
      </c>
    </row>
    <row r="242" spans="2:52" s="225" customFormat="1" ht="15" customHeight="1" thickBot="1" x14ac:dyDescent="0.35">
      <c r="B242" s="363" t="s">
        <v>24</v>
      </c>
      <c r="C242" s="562"/>
      <c r="D242" s="562"/>
      <c r="E242" s="562"/>
      <c r="F242" s="562"/>
      <c r="G242" s="562"/>
      <c r="H242" s="562"/>
      <c r="I242" s="562"/>
      <c r="J242" s="562"/>
      <c r="K242" s="562"/>
      <c r="L242" s="562"/>
      <c r="M242" s="562"/>
      <c r="N242" s="562"/>
      <c r="O242" s="562"/>
      <c r="P242" s="562"/>
      <c r="Q242" s="562"/>
      <c r="R242" s="562"/>
      <c r="S242" s="562"/>
      <c r="T242" s="325">
        <f t="shared" ref="T242:AE242" si="522">SUM(T222,T241)</f>
        <v>220.79999999999995</v>
      </c>
      <c r="U242" s="325"/>
      <c r="V242" s="563">
        <f t="shared" si="522"/>
        <v>269.60000000000002</v>
      </c>
      <c r="W242" s="325">
        <f t="shared" si="522"/>
        <v>293.10000000000002</v>
      </c>
      <c r="X242" s="325"/>
      <c r="Y242" s="563">
        <f t="shared" si="522"/>
        <v>457.79999999999995</v>
      </c>
      <c r="Z242" s="325">
        <f t="shared" si="522"/>
        <v>500.70000000000005</v>
      </c>
      <c r="AA242" s="325"/>
      <c r="AB242" s="563">
        <f t="shared" si="522"/>
        <v>586.40000000000009</v>
      </c>
      <c r="AC242" s="325">
        <f t="shared" si="522"/>
        <v>582.90000000000009</v>
      </c>
      <c r="AD242" s="325"/>
      <c r="AE242" s="563">
        <f t="shared" si="522"/>
        <v>700.5</v>
      </c>
      <c r="AF242" s="325">
        <f>SUM(AF222,AF241)</f>
        <v>633.70000000000005</v>
      </c>
      <c r="AG242" s="325"/>
      <c r="AH242" s="563">
        <f>SUM(AH222,AH241)</f>
        <v>701.49999999999977</v>
      </c>
      <c r="AI242" s="325">
        <f t="shared" ref="AI242" si="523">SUM(AI222,AI241)</f>
        <v>625.5999999999998</v>
      </c>
      <c r="AJ242" s="639"/>
      <c r="AK242" s="563">
        <f>SUM(AK222,AK241)</f>
        <v>853.39999999999986</v>
      </c>
      <c r="AL242" s="325">
        <f t="shared" ref="AL242" si="524">SUM(AL222,AL241)</f>
        <v>809.10000000000014</v>
      </c>
      <c r="AM242" s="639"/>
      <c r="AN242" s="563">
        <f>SUM(AN222,AN241)</f>
        <v>871.8</v>
      </c>
      <c r="AO242" s="325">
        <f t="shared" ref="AO242" si="525">SUM(AO222,AO241)</f>
        <v>789.39999999999986</v>
      </c>
      <c r="AP242" s="639"/>
      <c r="AQ242" s="563">
        <f>SUM(AQ222,AQ241)</f>
        <v>796.20000000000027</v>
      </c>
      <c r="AR242" s="325">
        <f t="shared" ref="AR242" si="526">SUM(AR222,AR241)</f>
        <v>665.89999999999986</v>
      </c>
      <c r="AS242" s="639"/>
      <c r="AT242" s="563">
        <f>SUM(AT222,AT241)</f>
        <v>670.29999999999973</v>
      </c>
      <c r="AU242" s="325">
        <f t="shared" ref="AU242" si="527">SUM(AU222,AU241)</f>
        <v>609.20000000000005</v>
      </c>
      <c r="AV242" s="639"/>
      <c r="AW242" s="563">
        <f>SUM(AW222,AW241)</f>
        <v>557.59999999999991</v>
      </c>
      <c r="AX242" s="325">
        <f t="shared" ref="AX242" si="528">SUM(AX222,AX241)</f>
        <v>483.10000000000014</v>
      </c>
      <c r="AY242" s="639"/>
      <c r="AZ242" s="563">
        <f>AZ222+AZ241</f>
        <v>466.70000000000005</v>
      </c>
    </row>
    <row r="243" spans="2:52" s="225" customFormat="1" ht="15" customHeight="1" x14ac:dyDescent="0.3">
      <c r="B243" s="361" t="s">
        <v>25</v>
      </c>
      <c r="C243" s="548"/>
      <c r="D243" s="548"/>
      <c r="E243" s="548"/>
      <c r="F243" s="548"/>
      <c r="G243" s="548"/>
      <c r="H243" s="548"/>
      <c r="I243" s="548"/>
      <c r="J243" s="548"/>
      <c r="K243" s="548"/>
      <c r="L243" s="548"/>
      <c r="M243" s="548"/>
      <c r="N243" s="548"/>
      <c r="O243" s="548"/>
      <c r="P243" s="548"/>
      <c r="Q243" s="548"/>
      <c r="R243" s="548"/>
      <c r="S243" s="548"/>
      <c r="T243" s="332"/>
      <c r="U243" s="332"/>
      <c r="V243" s="555"/>
      <c r="W243" s="332"/>
      <c r="X243" s="332"/>
      <c r="Y243" s="555"/>
      <c r="Z243" s="332"/>
      <c r="AA243" s="332"/>
      <c r="AB243" s="555"/>
      <c r="AC243" s="332"/>
      <c r="AD243" s="332"/>
      <c r="AE243" s="555"/>
      <c r="AF243" s="332"/>
      <c r="AG243" s="332"/>
      <c r="AH243" s="555"/>
      <c r="AI243" s="332"/>
      <c r="AJ243" s="571"/>
      <c r="AK243" s="555"/>
      <c r="AL243" s="571"/>
      <c r="AM243" s="571"/>
      <c r="AN243" s="555"/>
      <c r="AO243" s="571"/>
      <c r="AP243" s="571"/>
      <c r="AQ243" s="555"/>
      <c r="AR243" s="571"/>
      <c r="AS243" s="571"/>
      <c r="AT243" s="555"/>
      <c r="AU243" s="571"/>
      <c r="AV243" s="571"/>
      <c r="AW243" s="555"/>
      <c r="AX243" s="571"/>
      <c r="AY243" s="571"/>
      <c r="AZ243" s="555"/>
    </row>
    <row r="244" spans="2:52" s="225" customFormat="1" ht="15" customHeight="1" x14ac:dyDescent="0.3">
      <c r="B244" s="362" t="s">
        <v>26</v>
      </c>
      <c r="C244" s="542"/>
      <c r="D244" s="542"/>
      <c r="E244" s="542"/>
      <c r="F244" s="542"/>
      <c r="G244" s="542"/>
      <c r="H244" s="542"/>
      <c r="I244" s="542"/>
      <c r="J244" s="542"/>
      <c r="K244" s="542"/>
      <c r="L244" s="542"/>
      <c r="M244" s="542"/>
      <c r="N244" s="542"/>
      <c r="O244" s="542"/>
      <c r="P244" s="542"/>
      <c r="Q244" s="542"/>
      <c r="R244" s="542"/>
      <c r="S244" s="542"/>
      <c r="T244" s="131">
        <v>14.7</v>
      </c>
      <c r="U244" s="131"/>
      <c r="V244" s="235">
        <v>14.7</v>
      </c>
      <c r="W244" s="131">
        <v>14.7</v>
      </c>
      <c r="X244" s="131"/>
      <c r="Y244" s="235">
        <v>14.7</v>
      </c>
      <c r="Z244" s="131">
        <v>14.7</v>
      </c>
      <c r="AA244" s="131"/>
      <c r="AB244" s="235">
        <v>14.7</v>
      </c>
      <c r="AC244" s="131">
        <v>14.7</v>
      </c>
      <c r="AD244" s="131"/>
      <c r="AE244" s="235">
        <v>14.7</v>
      </c>
      <c r="AF244" s="131">
        <v>14.7</v>
      </c>
      <c r="AG244" s="131"/>
      <c r="AH244" s="235">
        <v>14.7</v>
      </c>
      <c r="AI244" s="131">
        <v>14.7</v>
      </c>
      <c r="AJ244" s="513"/>
      <c r="AK244" s="235">
        <v>16.8</v>
      </c>
      <c r="AL244" s="513">
        <v>16.8</v>
      </c>
      <c r="AM244" s="513"/>
      <c r="AN244" s="235">
        <v>16.8</v>
      </c>
      <c r="AO244" s="513">
        <v>16.8</v>
      </c>
      <c r="AP244" s="513"/>
      <c r="AQ244" s="235">
        <v>16.7</v>
      </c>
      <c r="AR244" s="513">
        <v>16.2</v>
      </c>
      <c r="AS244" s="513"/>
      <c r="AT244" s="235">
        <v>16</v>
      </c>
      <c r="AU244" s="513">
        <v>16</v>
      </c>
      <c r="AV244" s="513"/>
      <c r="AW244" s="235">
        <v>16</v>
      </c>
      <c r="AX244" s="513">
        <v>16</v>
      </c>
      <c r="AY244" s="513"/>
      <c r="AZ244" s="235">
        <v>16</v>
      </c>
    </row>
    <row r="245" spans="2:52" s="225" customFormat="1" ht="15" customHeight="1" x14ac:dyDescent="0.3">
      <c r="B245" s="362" t="s">
        <v>27</v>
      </c>
      <c r="C245" s="542"/>
      <c r="D245" s="542"/>
      <c r="E245" s="542"/>
      <c r="F245" s="542"/>
      <c r="G245" s="542"/>
      <c r="H245" s="542"/>
      <c r="I245" s="542"/>
      <c r="J245" s="542"/>
      <c r="K245" s="542"/>
      <c r="L245" s="542"/>
      <c r="M245" s="542"/>
      <c r="N245" s="542"/>
      <c r="O245" s="542"/>
      <c r="P245" s="542"/>
      <c r="Q245" s="542"/>
      <c r="R245" s="542"/>
      <c r="S245" s="542"/>
      <c r="T245" s="131">
        <v>369.6</v>
      </c>
      <c r="U245" s="131"/>
      <c r="V245" s="235">
        <v>369.6</v>
      </c>
      <c r="W245" s="131">
        <v>369.6</v>
      </c>
      <c r="X245" s="131"/>
      <c r="Y245" s="235">
        <v>369.6</v>
      </c>
      <c r="Z245" s="131">
        <v>369.6</v>
      </c>
      <c r="AA245" s="131"/>
      <c r="AB245" s="235">
        <v>369.6</v>
      </c>
      <c r="AC245" s="131">
        <v>369.6</v>
      </c>
      <c r="AD245" s="131"/>
      <c r="AE245" s="235">
        <v>369.6</v>
      </c>
      <c r="AF245" s="131">
        <v>369.6</v>
      </c>
      <c r="AG245" s="131"/>
      <c r="AH245" s="235">
        <v>369.6</v>
      </c>
      <c r="AI245" s="131">
        <v>369.6</v>
      </c>
      <c r="AJ245" s="513"/>
      <c r="AK245" s="235">
        <v>369.6</v>
      </c>
      <c r="AL245" s="513">
        <v>369.6</v>
      </c>
      <c r="AM245" s="513"/>
      <c r="AN245" s="235">
        <v>369.6</v>
      </c>
      <c r="AO245" s="513">
        <v>369.6</v>
      </c>
      <c r="AP245" s="513"/>
      <c r="AQ245" s="235">
        <v>369.6</v>
      </c>
      <c r="AR245" s="513">
        <v>369.6</v>
      </c>
      <c r="AS245" s="513"/>
      <c r="AT245" s="235">
        <v>369.6</v>
      </c>
      <c r="AU245" s="513">
        <v>369.6</v>
      </c>
      <c r="AV245" s="513"/>
      <c r="AW245" s="235">
        <v>369.6</v>
      </c>
      <c r="AX245" s="513">
        <v>369.6</v>
      </c>
      <c r="AY245" s="513"/>
      <c r="AZ245" s="235">
        <v>369.6</v>
      </c>
    </row>
    <row r="246" spans="2:52" s="225" customFormat="1" ht="15" customHeight="1" x14ac:dyDescent="0.3">
      <c r="B246" s="362" t="s">
        <v>663</v>
      </c>
      <c r="C246" s="542"/>
      <c r="D246" s="542"/>
      <c r="E246" s="542"/>
      <c r="F246" s="542"/>
      <c r="G246" s="542"/>
      <c r="H246" s="542"/>
      <c r="I246" s="542"/>
      <c r="J246" s="542"/>
      <c r="K246" s="542"/>
      <c r="L246" s="542"/>
      <c r="M246" s="542"/>
      <c r="N246" s="542"/>
      <c r="O246" s="542"/>
      <c r="P246" s="542"/>
      <c r="Q246" s="542"/>
      <c r="R246" s="542"/>
      <c r="S246" s="542"/>
      <c r="T246" s="131" t="s">
        <v>3</v>
      </c>
      <c r="U246" s="131"/>
      <c r="V246" s="235" t="s">
        <v>3</v>
      </c>
      <c r="W246" s="131" t="s">
        <v>3</v>
      </c>
      <c r="X246" s="131"/>
      <c r="Y246" s="235" t="s">
        <v>3</v>
      </c>
      <c r="Z246" s="131" t="s">
        <v>3</v>
      </c>
      <c r="AA246" s="131"/>
      <c r="AB246" s="235" t="s">
        <v>3</v>
      </c>
      <c r="AC246" s="131" t="s">
        <v>3</v>
      </c>
      <c r="AD246" s="131"/>
      <c r="AE246" s="235" t="s">
        <v>3</v>
      </c>
      <c r="AF246" s="131" t="s">
        <v>3</v>
      </c>
      <c r="AG246" s="131"/>
      <c r="AH246" s="235" t="s">
        <v>3</v>
      </c>
      <c r="AI246" s="131" t="s">
        <v>3</v>
      </c>
      <c r="AJ246" s="513"/>
      <c r="AK246" s="235">
        <v>193.8</v>
      </c>
      <c r="AL246" s="513">
        <v>193.8</v>
      </c>
      <c r="AM246" s="513"/>
      <c r="AN246" s="235">
        <v>193.8</v>
      </c>
      <c r="AO246" s="513">
        <v>43.8</v>
      </c>
      <c r="AP246" s="513"/>
      <c r="AQ246" s="235">
        <v>43.8</v>
      </c>
      <c r="AR246" s="513">
        <v>43.8</v>
      </c>
      <c r="AS246" s="513"/>
      <c r="AT246" s="235">
        <v>43.8</v>
      </c>
      <c r="AU246" s="513">
        <v>43.8</v>
      </c>
      <c r="AV246" s="513"/>
      <c r="AW246" s="235">
        <v>28.8</v>
      </c>
      <c r="AX246" s="513">
        <v>0</v>
      </c>
      <c r="AY246" s="513"/>
      <c r="AZ246" s="235">
        <v>0</v>
      </c>
    </row>
    <row r="247" spans="2:52" s="225" customFormat="1" ht="15" customHeight="1" x14ac:dyDescent="0.3">
      <c r="B247" s="362" t="s">
        <v>28</v>
      </c>
      <c r="C247" s="542"/>
      <c r="D247" s="542"/>
      <c r="E247" s="542"/>
      <c r="F247" s="542"/>
      <c r="G247" s="542"/>
      <c r="H247" s="542"/>
      <c r="I247" s="542"/>
      <c r="J247" s="542"/>
      <c r="K247" s="542"/>
      <c r="L247" s="542"/>
      <c r="M247" s="542"/>
      <c r="N247" s="542"/>
      <c r="O247" s="542"/>
      <c r="P247" s="542"/>
      <c r="Q247" s="542"/>
      <c r="R247" s="542"/>
      <c r="S247" s="542"/>
      <c r="T247" s="131">
        <v>2.7</v>
      </c>
      <c r="U247" s="131"/>
      <c r="V247" s="235">
        <v>2.7</v>
      </c>
      <c r="W247" s="131">
        <v>2.7</v>
      </c>
      <c r="X247" s="131"/>
      <c r="Y247" s="235">
        <v>2.7</v>
      </c>
      <c r="Z247" s="131">
        <v>2.7</v>
      </c>
      <c r="AA247" s="131"/>
      <c r="AB247" s="235">
        <v>2.7</v>
      </c>
      <c r="AC247" s="131">
        <v>2.7</v>
      </c>
      <c r="AD247" s="131"/>
      <c r="AE247" s="235">
        <v>2.7</v>
      </c>
      <c r="AF247" s="131">
        <v>2.7</v>
      </c>
      <c r="AG247" s="131"/>
      <c r="AH247" s="235">
        <v>2.7</v>
      </c>
      <c r="AI247" s="131">
        <v>2.7</v>
      </c>
      <c r="AJ247" s="513"/>
      <c r="AK247" s="235">
        <v>2.7</v>
      </c>
      <c r="AL247" s="513">
        <v>2.7</v>
      </c>
      <c r="AM247" s="513"/>
      <c r="AN247" s="235">
        <v>2.7</v>
      </c>
      <c r="AO247" s="513">
        <v>2.7</v>
      </c>
      <c r="AP247" s="513"/>
      <c r="AQ247" s="235">
        <v>2.7</v>
      </c>
      <c r="AR247" s="513">
        <v>3.2</v>
      </c>
      <c r="AS247" s="513"/>
      <c r="AT247" s="235">
        <v>3.4</v>
      </c>
      <c r="AU247" s="513">
        <v>3.4</v>
      </c>
      <c r="AV247" s="513"/>
      <c r="AW247" s="235">
        <v>3.4</v>
      </c>
      <c r="AX247" s="513">
        <v>3.4</v>
      </c>
      <c r="AY247" s="513"/>
      <c r="AZ247" s="235">
        <v>3.4</v>
      </c>
    </row>
    <row r="248" spans="2:52" s="225" customFormat="1" ht="15" customHeight="1" x14ac:dyDescent="0.3">
      <c r="B248" s="362" t="s">
        <v>29</v>
      </c>
      <c r="C248" s="542"/>
      <c r="D248" s="542"/>
      <c r="E248" s="542"/>
      <c r="F248" s="542"/>
      <c r="G248" s="542"/>
      <c r="H248" s="542"/>
      <c r="I248" s="542"/>
      <c r="J248" s="542"/>
      <c r="K248" s="542"/>
      <c r="L248" s="542"/>
      <c r="M248" s="542"/>
      <c r="N248" s="542"/>
      <c r="O248" s="542"/>
      <c r="P248" s="542"/>
      <c r="Q248" s="542"/>
      <c r="R248" s="542"/>
      <c r="S248" s="542"/>
      <c r="T248" s="131">
        <v>-206.6</v>
      </c>
      <c r="U248" s="131"/>
      <c r="V248" s="235">
        <v>-138.19999999999999</v>
      </c>
      <c r="W248" s="131">
        <v>-123.3</v>
      </c>
      <c r="X248" s="131"/>
      <c r="Y248" s="235">
        <v>-15.8</v>
      </c>
      <c r="Z248" s="131">
        <v>21</v>
      </c>
      <c r="AA248" s="131"/>
      <c r="AB248" s="235">
        <v>94.1</v>
      </c>
      <c r="AC248" s="131">
        <v>98.3</v>
      </c>
      <c r="AD248" s="131"/>
      <c r="AE248" s="235">
        <v>213</v>
      </c>
      <c r="AF248" s="131">
        <v>143.1</v>
      </c>
      <c r="AG248" s="131"/>
      <c r="AH248" s="235">
        <v>206.7</v>
      </c>
      <c r="AI248" s="131">
        <v>167</v>
      </c>
      <c r="AJ248" s="513"/>
      <c r="AK248" s="235">
        <v>161</v>
      </c>
      <c r="AL248" s="513">
        <v>132.6</v>
      </c>
      <c r="AM248" s="513"/>
      <c r="AN248" s="235">
        <v>207.8</v>
      </c>
      <c r="AO248" s="513">
        <v>284.3</v>
      </c>
      <c r="AP248" s="513"/>
      <c r="AQ248" s="235">
        <v>268.2</v>
      </c>
      <c r="AR248" s="513">
        <v>131.4</v>
      </c>
      <c r="AS248" s="513"/>
      <c r="AT248" s="235">
        <v>155.4</v>
      </c>
      <c r="AU248" s="513">
        <v>90.6</v>
      </c>
      <c r="AV248" s="513"/>
      <c r="AW248" s="235">
        <v>62</v>
      </c>
      <c r="AX248" s="513">
        <v>35.5</v>
      </c>
      <c r="AY248" s="513"/>
      <c r="AZ248" s="235">
        <v>12.1</v>
      </c>
    </row>
    <row r="249" spans="2:52" s="225" customFormat="1" ht="15" customHeight="1" x14ac:dyDescent="0.3">
      <c r="B249" s="362" t="s">
        <v>30</v>
      </c>
      <c r="C249" s="542"/>
      <c r="D249" s="542"/>
      <c r="E249" s="542"/>
      <c r="F249" s="542"/>
      <c r="G249" s="542"/>
      <c r="H249" s="542"/>
      <c r="I249" s="542"/>
      <c r="J249" s="542"/>
      <c r="K249" s="542"/>
      <c r="L249" s="542"/>
      <c r="M249" s="542"/>
      <c r="N249" s="542"/>
      <c r="O249" s="542"/>
      <c r="P249" s="542"/>
      <c r="Q249" s="542"/>
      <c r="R249" s="542"/>
      <c r="S249" s="542"/>
      <c r="T249" s="131">
        <v>25.6</v>
      </c>
      <c r="U249" s="131"/>
      <c r="V249" s="235">
        <v>2.1</v>
      </c>
      <c r="W249" s="131">
        <v>13.7</v>
      </c>
      <c r="X249" s="131"/>
      <c r="Y249" s="235">
        <v>66.400000000000006</v>
      </c>
      <c r="Z249" s="131">
        <v>75.900000000000006</v>
      </c>
      <c r="AA249" s="131"/>
      <c r="AB249" s="235">
        <v>83.8</v>
      </c>
      <c r="AC249" s="131">
        <v>80.5</v>
      </c>
      <c r="AD249" s="131"/>
      <c r="AE249" s="235">
        <v>78.7</v>
      </c>
      <c r="AF249" s="131">
        <v>86.2</v>
      </c>
      <c r="AG249" s="131"/>
      <c r="AH249" s="235">
        <v>86.3</v>
      </c>
      <c r="AI249" s="131">
        <v>57.3</v>
      </c>
      <c r="AJ249" s="513"/>
      <c r="AK249" s="235">
        <v>92</v>
      </c>
      <c r="AL249" s="513">
        <v>79.8</v>
      </c>
      <c r="AM249" s="513"/>
      <c r="AN249" s="235">
        <v>63.1</v>
      </c>
      <c r="AO249" s="513">
        <v>55.7</v>
      </c>
      <c r="AP249" s="513"/>
      <c r="AQ249" s="235">
        <v>73.599999999999994</v>
      </c>
      <c r="AR249" s="513">
        <v>83.1</v>
      </c>
      <c r="AS249" s="513"/>
      <c r="AT249" s="235">
        <v>58</v>
      </c>
      <c r="AU249" s="513">
        <v>64.599999999999994</v>
      </c>
      <c r="AV249" s="513"/>
      <c r="AW249" s="235">
        <v>53.9</v>
      </c>
      <c r="AX249" s="513">
        <v>41.3</v>
      </c>
      <c r="AY249" s="513"/>
      <c r="AZ249" s="235">
        <v>44.5</v>
      </c>
    </row>
    <row r="250" spans="2:52" s="225" customFormat="1" ht="15" customHeight="1" x14ac:dyDescent="0.3">
      <c r="B250" s="362" t="s">
        <v>563</v>
      </c>
      <c r="C250" s="542"/>
      <c r="D250" s="542"/>
      <c r="E250" s="542"/>
      <c r="F250" s="542"/>
      <c r="G250" s="542"/>
      <c r="H250" s="542"/>
      <c r="I250" s="542"/>
      <c r="J250" s="542"/>
      <c r="K250" s="542"/>
      <c r="L250" s="542"/>
      <c r="M250" s="542"/>
      <c r="N250" s="542"/>
      <c r="O250" s="542"/>
      <c r="P250" s="542"/>
      <c r="Q250" s="542"/>
      <c r="R250" s="542"/>
      <c r="S250" s="542"/>
      <c r="T250" s="131">
        <v>0</v>
      </c>
      <c r="U250" s="131"/>
      <c r="V250" s="235" t="s">
        <v>3</v>
      </c>
      <c r="W250" s="131" t="s">
        <v>3</v>
      </c>
      <c r="X250" s="131"/>
      <c r="Y250" s="235" t="s">
        <v>3</v>
      </c>
      <c r="Z250" s="131" t="s">
        <v>3</v>
      </c>
      <c r="AA250" s="131"/>
      <c r="AB250" s="235" t="s">
        <v>3</v>
      </c>
      <c r="AC250" s="131" t="s">
        <v>3</v>
      </c>
      <c r="AD250" s="131"/>
      <c r="AE250" s="235" t="s">
        <v>3</v>
      </c>
      <c r="AF250" s="131" t="s">
        <v>3</v>
      </c>
      <c r="AG250" s="131"/>
      <c r="AH250" s="235" t="s">
        <v>3</v>
      </c>
      <c r="AI250" s="131" t="s">
        <v>3</v>
      </c>
      <c r="AJ250" s="513"/>
      <c r="AK250" s="235" t="s">
        <v>3</v>
      </c>
      <c r="AL250" s="513" t="s">
        <v>3</v>
      </c>
      <c r="AM250" s="513"/>
      <c r="AN250" s="235" t="s">
        <v>3</v>
      </c>
      <c r="AO250" s="513" t="s">
        <v>3</v>
      </c>
      <c r="AP250" s="513"/>
      <c r="AQ250" s="235" t="s">
        <v>3</v>
      </c>
      <c r="AR250" s="513" t="s">
        <v>3</v>
      </c>
      <c r="AS250" s="513"/>
      <c r="AT250" s="235">
        <v>0</v>
      </c>
      <c r="AU250" s="513">
        <v>0</v>
      </c>
      <c r="AV250" s="513"/>
      <c r="AW250" s="235">
        <v>0</v>
      </c>
      <c r="AX250" s="513">
        <v>0</v>
      </c>
      <c r="AY250" s="513"/>
      <c r="AZ250" s="235">
        <v>0</v>
      </c>
    </row>
    <row r="251" spans="2:52" s="225" customFormat="1" ht="15" customHeight="1" x14ac:dyDescent="0.3">
      <c r="B251" s="362" t="s">
        <v>564</v>
      </c>
      <c r="C251" s="542"/>
      <c r="D251" s="542"/>
      <c r="E251" s="542"/>
      <c r="F251" s="542"/>
      <c r="G251" s="542"/>
      <c r="H251" s="542"/>
      <c r="I251" s="542"/>
      <c r="J251" s="542"/>
      <c r="K251" s="542"/>
      <c r="L251" s="542"/>
      <c r="M251" s="542"/>
      <c r="N251" s="542"/>
      <c r="O251" s="542"/>
      <c r="P251" s="542"/>
      <c r="Q251" s="542"/>
      <c r="R251" s="542"/>
      <c r="S251" s="542"/>
      <c r="T251" s="131">
        <v>0</v>
      </c>
      <c r="U251" s="131"/>
      <c r="V251" s="235" t="s">
        <v>3</v>
      </c>
      <c r="W251" s="131" t="s">
        <v>3</v>
      </c>
      <c r="X251" s="131"/>
      <c r="Y251" s="235" t="s">
        <v>3</v>
      </c>
      <c r="Z251" s="131" t="s">
        <v>3</v>
      </c>
      <c r="AA251" s="131"/>
      <c r="AB251" s="235" t="s">
        <v>3</v>
      </c>
      <c r="AC251" s="131" t="s">
        <v>3</v>
      </c>
      <c r="AD251" s="131"/>
      <c r="AE251" s="235" t="s">
        <v>3</v>
      </c>
      <c r="AF251" s="131" t="s">
        <v>3</v>
      </c>
      <c r="AG251" s="131"/>
      <c r="AH251" s="235" t="s">
        <v>3</v>
      </c>
      <c r="AI251" s="131" t="s">
        <v>3</v>
      </c>
      <c r="AJ251" s="513"/>
      <c r="AK251" s="235" t="s">
        <v>3</v>
      </c>
      <c r="AL251" s="513" t="s">
        <v>3</v>
      </c>
      <c r="AM251" s="513"/>
      <c r="AN251" s="235" t="s">
        <v>3</v>
      </c>
      <c r="AO251" s="513" t="s">
        <v>3</v>
      </c>
      <c r="AP251" s="513"/>
      <c r="AQ251" s="235" t="s">
        <v>3</v>
      </c>
      <c r="AR251" s="513" t="s">
        <v>3</v>
      </c>
      <c r="AS251" s="513"/>
      <c r="AT251" s="235">
        <v>0</v>
      </c>
      <c r="AU251" s="513">
        <v>0</v>
      </c>
      <c r="AV251" s="513"/>
      <c r="AW251" s="235">
        <v>0</v>
      </c>
      <c r="AX251" s="513">
        <v>0</v>
      </c>
      <c r="AY251" s="513"/>
      <c r="AZ251" s="235">
        <v>0</v>
      </c>
    </row>
    <row r="252" spans="2:52" s="225" customFormat="1" ht="15" customHeight="1" thickBot="1" x14ac:dyDescent="0.35">
      <c r="B252" s="552" t="s">
        <v>31</v>
      </c>
      <c r="C252" s="542"/>
      <c r="D252" s="542"/>
      <c r="E252" s="542"/>
      <c r="F252" s="542"/>
      <c r="G252" s="542"/>
      <c r="H252" s="542"/>
      <c r="I252" s="542"/>
      <c r="J252" s="542"/>
      <c r="K252" s="542"/>
      <c r="L252" s="542"/>
      <c r="M252" s="542"/>
      <c r="N252" s="542"/>
      <c r="O252" s="542"/>
      <c r="P252" s="542"/>
      <c r="Q252" s="542"/>
      <c r="R252" s="542"/>
      <c r="S252" s="542"/>
      <c r="T252" s="131">
        <v>14.8</v>
      </c>
      <c r="U252" s="131"/>
      <c r="V252" s="235">
        <v>18.7</v>
      </c>
      <c r="W252" s="131">
        <v>15.7</v>
      </c>
      <c r="X252" s="131"/>
      <c r="Y252" s="235">
        <v>20.2</v>
      </c>
      <c r="Z252" s="131">
        <v>16.8</v>
      </c>
      <c r="AA252" s="131"/>
      <c r="AB252" s="235">
        <v>21.5</v>
      </c>
      <c r="AC252" s="131">
        <v>17.100000000000001</v>
      </c>
      <c r="AD252" s="131"/>
      <c r="AE252" s="235">
        <v>21.8</v>
      </c>
      <c r="AF252" s="131">
        <v>17.399999999999999</v>
      </c>
      <c r="AG252" s="131"/>
      <c r="AH252" s="235">
        <v>21.5</v>
      </c>
      <c r="AI252" s="131">
        <v>14.3</v>
      </c>
      <c r="AJ252" s="513"/>
      <c r="AK252" s="235">
        <v>17.5</v>
      </c>
      <c r="AL252" s="513">
        <v>13.8</v>
      </c>
      <c r="AM252" s="513"/>
      <c r="AN252" s="235">
        <v>18</v>
      </c>
      <c r="AO252" s="513">
        <v>16.5</v>
      </c>
      <c r="AP252" s="513"/>
      <c r="AQ252" s="235">
        <v>21.6</v>
      </c>
      <c r="AR252" s="513">
        <v>18.600000000000001</v>
      </c>
      <c r="AS252" s="513"/>
      <c r="AT252" s="235">
        <v>24.1</v>
      </c>
      <c r="AU252" s="513">
        <v>21.2</v>
      </c>
      <c r="AV252" s="513"/>
      <c r="AW252" s="235">
        <v>23.9</v>
      </c>
      <c r="AX252" s="513">
        <v>17.3</v>
      </c>
      <c r="AY252" s="513"/>
      <c r="AZ252" s="235">
        <v>21.1</v>
      </c>
    </row>
    <row r="253" spans="2:52" s="225" customFormat="1" ht="15" customHeight="1" thickBot="1" x14ac:dyDescent="0.35">
      <c r="B253" s="363" t="s">
        <v>32</v>
      </c>
      <c r="C253" s="556"/>
      <c r="D253" s="556"/>
      <c r="E253" s="556"/>
      <c r="F253" s="556"/>
      <c r="G253" s="556"/>
      <c r="H253" s="556"/>
      <c r="I253" s="556"/>
      <c r="J253" s="556"/>
      <c r="K253" s="556"/>
      <c r="L253" s="556"/>
      <c r="M253" s="556"/>
      <c r="N253" s="556"/>
      <c r="O253" s="556"/>
      <c r="P253" s="556"/>
      <c r="Q253" s="556"/>
      <c r="R253" s="556"/>
      <c r="S253" s="556"/>
      <c r="T253" s="322">
        <f t="shared" ref="T253:AE253" si="529">SUM(T244:T252)</f>
        <v>220.8</v>
      </c>
      <c r="U253" s="322"/>
      <c r="V253" s="547">
        <f t="shared" si="529"/>
        <v>269.60000000000002</v>
      </c>
      <c r="W253" s="322">
        <f t="shared" si="529"/>
        <v>293.09999999999997</v>
      </c>
      <c r="X253" s="322"/>
      <c r="Y253" s="547">
        <f t="shared" si="529"/>
        <v>457.8</v>
      </c>
      <c r="Z253" s="322">
        <f t="shared" si="529"/>
        <v>500.7</v>
      </c>
      <c r="AA253" s="322"/>
      <c r="AB253" s="547">
        <f t="shared" si="529"/>
        <v>586.4</v>
      </c>
      <c r="AC253" s="322">
        <f t="shared" si="529"/>
        <v>582.9</v>
      </c>
      <c r="AD253" s="322"/>
      <c r="AE253" s="547">
        <f t="shared" si="529"/>
        <v>700.5</v>
      </c>
      <c r="AF253" s="322">
        <f>SUM(AF244:AF252)</f>
        <v>633.70000000000005</v>
      </c>
      <c r="AG253" s="322"/>
      <c r="AH253" s="547">
        <f t="shared" ref="AH253:AK253" si="530">SUM(AH244:AH252)</f>
        <v>701.5</v>
      </c>
      <c r="AI253" s="322">
        <f t="shared" si="530"/>
        <v>625.59999999999991</v>
      </c>
      <c r="AJ253" s="640"/>
      <c r="AK253" s="547">
        <f t="shared" si="530"/>
        <v>853.40000000000009</v>
      </c>
      <c r="AL253" s="322">
        <f t="shared" ref="AL253" si="531">SUM(AL244:AL252)</f>
        <v>809.1</v>
      </c>
      <c r="AM253" s="640"/>
      <c r="AN253" s="547">
        <f t="shared" ref="AN253:AO253" si="532">SUM(AN244:AN252)</f>
        <v>871.80000000000007</v>
      </c>
      <c r="AO253" s="322">
        <f t="shared" si="532"/>
        <v>789.40000000000009</v>
      </c>
      <c r="AP253" s="640"/>
      <c r="AQ253" s="547">
        <f t="shared" ref="AQ253:AX253" si="533">SUM(AQ244:AQ252)</f>
        <v>796.2</v>
      </c>
      <c r="AR253" s="322">
        <f t="shared" si="533"/>
        <v>665.90000000000009</v>
      </c>
      <c r="AS253" s="640"/>
      <c r="AT253" s="547">
        <f t="shared" si="533"/>
        <v>670.30000000000007</v>
      </c>
      <c r="AU253" s="322">
        <f t="shared" si="533"/>
        <v>609.20000000000005</v>
      </c>
      <c r="AV253" s="640"/>
      <c r="AW253" s="547">
        <f t="shared" si="533"/>
        <v>557.6</v>
      </c>
      <c r="AX253" s="322">
        <f t="shared" si="533"/>
        <v>483.1</v>
      </c>
      <c r="AY253" s="640"/>
      <c r="AZ253" s="547">
        <f t="shared" ref="AZ253" si="534">SUM(AZ244:AZ252)</f>
        <v>466.70000000000005</v>
      </c>
    </row>
    <row r="254" spans="2:52" s="641" customFormat="1" ht="15" customHeight="1" x14ac:dyDescent="0.2">
      <c r="T254" s="333">
        <f t="shared" ref="T254:AE254" si="535">T242-T253</f>
        <v>0</v>
      </c>
      <c r="U254" s="333"/>
      <c r="V254" s="642">
        <f t="shared" si="535"/>
        <v>0</v>
      </c>
      <c r="W254" s="333">
        <f t="shared" si="535"/>
        <v>0</v>
      </c>
      <c r="X254" s="333"/>
      <c r="Y254" s="642">
        <f t="shared" si="535"/>
        <v>0</v>
      </c>
      <c r="Z254" s="333">
        <f t="shared" si="535"/>
        <v>0</v>
      </c>
      <c r="AA254" s="333"/>
      <c r="AB254" s="642">
        <f t="shared" si="535"/>
        <v>0</v>
      </c>
      <c r="AC254" s="333">
        <f t="shared" si="535"/>
        <v>0</v>
      </c>
      <c r="AD254" s="333"/>
      <c r="AE254" s="642">
        <f t="shared" si="535"/>
        <v>0</v>
      </c>
      <c r="AF254" s="333">
        <f>AF242-AF253</f>
        <v>0</v>
      </c>
      <c r="AG254" s="333"/>
      <c r="AH254" s="642">
        <f t="shared" ref="AH254:AI254" si="536">AH242-AH253</f>
        <v>0</v>
      </c>
      <c r="AI254" s="333">
        <f t="shared" si="536"/>
        <v>0</v>
      </c>
      <c r="AJ254" s="643"/>
      <c r="AK254" s="642">
        <f t="shared" ref="AK254:AN254" si="537">AK242-AK253</f>
        <v>0</v>
      </c>
      <c r="AL254" s="333">
        <f t="shared" si="537"/>
        <v>0</v>
      </c>
      <c r="AM254" s="643"/>
      <c r="AN254" s="642">
        <f t="shared" si="537"/>
        <v>0</v>
      </c>
      <c r="AO254" s="333">
        <f t="shared" ref="AO254" si="538">AO242-AO253</f>
        <v>0</v>
      </c>
      <c r="AP254" s="643"/>
      <c r="AQ254" s="642">
        <f t="shared" ref="AQ254:AX254" si="539">AQ242-AQ253</f>
        <v>0</v>
      </c>
      <c r="AR254" s="333">
        <f t="shared" si="539"/>
        <v>0</v>
      </c>
      <c r="AS254" s="643"/>
      <c r="AT254" s="642">
        <f t="shared" si="539"/>
        <v>0</v>
      </c>
      <c r="AU254" s="333">
        <f t="shared" si="539"/>
        <v>0</v>
      </c>
      <c r="AV254" s="643"/>
      <c r="AW254" s="642">
        <f t="shared" si="539"/>
        <v>0</v>
      </c>
      <c r="AX254" s="333">
        <f t="shared" si="539"/>
        <v>0</v>
      </c>
      <c r="AY254" s="643"/>
      <c r="AZ254" s="642">
        <f t="shared" ref="AZ254" si="540">AZ242-AZ253</f>
        <v>0</v>
      </c>
    </row>
    <row r="255" spans="2:52" s="646" customFormat="1" ht="15" customHeight="1" x14ac:dyDescent="0.2">
      <c r="B255" s="644" t="s">
        <v>42</v>
      </c>
      <c r="C255" s="645"/>
      <c r="D255" s="645"/>
      <c r="E255" s="645"/>
      <c r="F255" s="645"/>
      <c r="G255" s="645"/>
      <c r="H255" s="645"/>
      <c r="I255" s="645"/>
      <c r="J255" s="645"/>
      <c r="K255" s="645"/>
      <c r="L255" s="645"/>
      <c r="M255" s="645"/>
      <c r="N255" s="645"/>
      <c r="O255" s="645"/>
      <c r="P255" s="645"/>
      <c r="Q255" s="645"/>
      <c r="R255" s="645"/>
      <c r="S255" s="645"/>
      <c r="T255" s="333" t="str">
        <f t="shared" ref="T255:AE255" si="541">IF(T254&lt;&gt;0,"ALERT","OK")</f>
        <v>OK</v>
      </c>
      <c r="U255" s="333"/>
      <c r="V255" s="642" t="str">
        <f t="shared" si="541"/>
        <v>OK</v>
      </c>
      <c r="W255" s="333" t="str">
        <f t="shared" si="541"/>
        <v>OK</v>
      </c>
      <c r="X255" s="333"/>
      <c r="Y255" s="642" t="str">
        <f t="shared" si="541"/>
        <v>OK</v>
      </c>
      <c r="Z255" s="333" t="str">
        <f t="shared" si="541"/>
        <v>OK</v>
      </c>
      <c r="AA255" s="333"/>
      <c r="AB255" s="642" t="str">
        <f t="shared" si="541"/>
        <v>OK</v>
      </c>
      <c r="AC255" s="333" t="str">
        <f t="shared" si="541"/>
        <v>OK</v>
      </c>
      <c r="AD255" s="333"/>
      <c r="AE255" s="642" t="str">
        <f t="shared" si="541"/>
        <v>OK</v>
      </c>
      <c r="AF255" s="333" t="str">
        <f>IF(AF254&lt;&gt;0,"ALERT","OK")</f>
        <v>OK</v>
      </c>
      <c r="AG255" s="333"/>
      <c r="AH255" s="642" t="str">
        <f t="shared" ref="AH255:AI255" si="542">IF(AH254&lt;&gt;0,"ALERT","OK")</f>
        <v>OK</v>
      </c>
      <c r="AI255" s="333" t="str">
        <f t="shared" si="542"/>
        <v>OK</v>
      </c>
      <c r="AJ255" s="333"/>
      <c r="AK255" s="642" t="str">
        <f t="shared" ref="AK255:AN255" si="543">IF(AK254&lt;&gt;0,"ALERT","OK")</f>
        <v>OK</v>
      </c>
      <c r="AL255" s="333" t="str">
        <f t="shared" si="543"/>
        <v>OK</v>
      </c>
      <c r="AM255" s="333"/>
      <c r="AN255" s="642" t="str">
        <f t="shared" si="543"/>
        <v>OK</v>
      </c>
      <c r="AO255" s="333" t="str">
        <f t="shared" ref="AO255" si="544">IF(AO254&lt;&gt;0,"ALERT","OK")</f>
        <v>OK</v>
      </c>
      <c r="AP255" s="333"/>
      <c r="AQ255" s="642" t="str">
        <f t="shared" ref="AQ255:AX255" si="545">IF(AQ254&lt;&gt;0,"ALERT","OK")</f>
        <v>OK</v>
      </c>
      <c r="AR255" s="333" t="str">
        <f t="shared" si="545"/>
        <v>OK</v>
      </c>
      <c r="AS255" s="333"/>
      <c r="AT255" s="642" t="str">
        <f t="shared" si="545"/>
        <v>OK</v>
      </c>
      <c r="AU255" s="333" t="str">
        <f t="shared" si="545"/>
        <v>OK</v>
      </c>
      <c r="AV255" s="333"/>
      <c r="AW255" s="642" t="str">
        <f t="shared" si="545"/>
        <v>OK</v>
      </c>
      <c r="AX255" s="333" t="str">
        <f t="shared" si="545"/>
        <v>OK</v>
      </c>
      <c r="AY255" s="333"/>
      <c r="AZ255" s="642" t="str">
        <f t="shared" ref="AZ255" si="546">IF(AZ254&lt;&gt;0,"ALERT","OK")</f>
        <v>OK</v>
      </c>
    </row>
    <row r="257" spans="2:52" s="354" customFormat="1" ht="15" customHeight="1" x14ac:dyDescent="0.35">
      <c r="B257" s="353" t="s">
        <v>519</v>
      </c>
      <c r="T257" s="375" t="str">
        <f t="shared" ref="T257:AT257" si="547">T$5</f>
        <v>H1 15</v>
      </c>
      <c r="U257" s="375"/>
      <c r="V257" s="355" t="str">
        <f t="shared" si="547"/>
        <v>FY15</v>
      </c>
      <c r="W257" s="375" t="str">
        <f t="shared" si="547"/>
        <v>H1 16</v>
      </c>
      <c r="X257" s="375"/>
      <c r="Y257" s="355" t="str">
        <f t="shared" si="547"/>
        <v>FY16</v>
      </c>
      <c r="Z257" s="375" t="str">
        <f t="shared" si="547"/>
        <v>H1 17</v>
      </c>
      <c r="AA257" s="375"/>
      <c r="AB257" s="355" t="str">
        <f t="shared" si="547"/>
        <v>FY17</v>
      </c>
      <c r="AC257" s="375" t="str">
        <f t="shared" si="547"/>
        <v>H1 18</v>
      </c>
      <c r="AD257" s="375"/>
      <c r="AE257" s="355" t="str">
        <f t="shared" si="547"/>
        <v>FY18</v>
      </c>
      <c r="AF257" s="375" t="str">
        <f t="shared" si="547"/>
        <v>H1 19</v>
      </c>
      <c r="AG257" s="375"/>
      <c r="AH257" s="355" t="str">
        <f t="shared" si="547"/>
        <v>FY19</v>
      </c>
      <c r="AI257" s="375" t="str">
        <f t="shared" si="547"/>
        <v>H1 20</v>
      </c>
      <c r="AJ257" s="375"/>
      <c r="AK257" s="355" t="str">
        <f t="shared" si="547"/>
        <v>FY20</v>
      </c>
      <c r="AL257" s="375" t="str">
        <f t="shared" si="547"/>
        <v>H1 21</v>
      </c>
      <c r="AM257" s="375"/>
      <c r="AN257" s="355" t="str">
        <f t="shared" si="547"/>
        <v>FY21</v>
      </c>
      <c r="AO257" s="375" t="str">
        <f t="shared" si="547"/>
        <v>H1 22</v>
      </c>
      <c r="AP257" s="375"/>
      <c r="AQ257" s="355" t="str">
        <f t="shared" si="547"/>
        <v>FY22</v>
      </c>
      <c r="AR257" s="375" t="str">
        <f t="shared" si="547"/>
        <v>H1 23</v>
      </c>
      <c r="AS257" s="375" t="str">
        <f t="shared" si="547"/>
        <v>H2 23</v>
      </c>
      <c r="AT257" s="355" t="str">
        <f t="shared" si="547"/>
        <v>FY23</v>
      </c>
      <c r="AU257" s="375" t="s">
        <v>746</v>
      </c>
      <c r="AV257" s="375" t="s">
        <v>758</v>
      </c>
      <c r="AW257" s="355" t="s">
        <v>747</v>
      </c>
      <c r="AX257" s="375" t="s">
        <v>759</v>
      </c>
      <c r="AY257" s="375" t="s">
        <v>760</v>
      </c>
      <c r="AZ257" s="355" t="s">
        <v>752</v>
      </c>
    </row>
    <row r="258" spans="2:52" s="360" customFormat="1" ht="15.5" x14ac:dyDescent="0.35">
      <c r="B258" s="356" t="s">
        <v>628</v>
      </c>
      <c r="C258" s="357"/>
      <c r="D258" s="357"/>
      <c r="E258" s="357"/>
      <c r="F258" s="357"/>
      <c r="G258" s="357"/>
      <c r="H258" s="357"/>
      <c r="I258" s="357"/>
      <c r="J258" s="357"/>
      <c r="K258" s="357"/>
      <c r="L258" s="357"/>
      <c r="M258" s="357"/>
      <c r="N258" s="357"/>
      <c r="O258" s="357"/>
      <c r="P258" s="357"/>
      <c r="Q258" s="357"/>
      <c r="R258" s="357"/>
      <c r="S258" s="357"/>
      <c r="T258" s="358"/>
      <c r="U258" s="358"/>
      <c r="V258" s="359"/>
      <c r="W258" s="358"/>
      <c r="X258" s="358"/>
      <c r="Y258" s="359"/>
      <c r="Z258" s="358"/>
      <c r="AA258" s="358"/>
      <c r="AB258" s="359"/>
      <c r="AC258" s="358"/>
      <c r="AD258" s="358"/>
      <c r="AE258" s="359"/>
      <c r="AF258" s="358"/>
      <c r="AG258" s="358"/>
      <c r="AH258" s="359"/>
      <c r="AJ258" s="357"/>
      <c r="AK258" s="359"/>
      <c r="AL258" s="357"/>
      <c r="AM258" s="357"/>
      <c r="AN258" s="359"/>
      <c r="AP258" s="357"/>
      <c r="AQ258" s="359"/>
      <c r="AS258" s="357"/>
      <c r="AT258" s="359"/>
      <c r="AV258" s="357"/>
      <c r="AW258" s="359"/>
      <c r="AY258" s="357"/>
      <c r="AZ258" s="359"/>
    </row>
    <row r="259" spans="2:52" s="150" customFormat="1" x14ac:dyDescent="0.3">
      <c r="B259" s="243" t="s">
        <v>520</v>
      </c>
      <c r="C259" s="150" t="s">
        <v>522</v>
      </c>
      <c r="T259" s="298">
        <v>5741</v>
      </c>
      <c r="U259" s="298"/>
      <c r="V259" s="366">
        <v>5969</v>
      </c>
      <c r="W259" s="298">
        <v>6454</v>
      </c>
      <c r="X259" s="298"/>
      <c r="Y259" s="366">
        <f>SUM(Y263,Y265,Y267,Y269)</f>
        <v>6268</v>
      </c>
      <c r="Z259" s="298">
        <v>6606</v>
      </c>
      <c r="AA259" s="298"/>
      <c r="AB259" s="366">
        <v>6884</v>
      </c>
      <c r="AC259" s="298">
        <v>7451</v>
      </c>
      <c r="AD259" s="298"/>
      <c r="AE259" s="366">
        <v>7464</v>
      </c>
      <c r="AF259" s="298">
        <v>7970</v>
      </c>
      <c r="AG259" s="298"/>
      <c r="AH259" s="366">
        <v>7782</v>
      </c>
      <c r="AI259" s="298">
        <v>7847</v>
      </c>
      <c r="AK259" s="366">
        <v>6900</v>
      </c>
      <c r="AL259" s="150">
        <v>6548</v>
      </c>
      <c r="AN259" s="366">
        <v>7190</v>
      </c>
      <c r="AO259" s="150">
        <v>8266</v>
      </c>
      <c r="AQ259" s="366">
        <v>9037</v>
      </c>
      <c r="AR259" s="150">
        <v>9099</v>
      </c>
      <c r="AS259" s="150">
        <v>8589.8399401745064</v>
      </c>
      <c r="AT259" s="366">
        <v>8589.8399401745064</v>
      </c>
      <c r="AU259" s="150">
        <v>7971</v>
      </c>
      <c r="AV259" s="150">
        <f>[1]Interims!BO329</f>
        <v>7044.7420000000011</v>
      </c>
      <c r="AW259" s="366">
        <f>[1]Interims!BP329</f>
        <v>7044.7420000000011</v>
      </c>
      <c r="AX259" s="150">
        <f>[1]Interims!BQ329</f>
        <v>6809.1050999999998</v>
      </c>
      <c r="AY259" s="150">
        <f>[1]Interims!BR329</f>
        <v>6072</v>
      </c>
      <c r="AZ259" s="366">
        <f>[1]Interims!BS329</f>
        <v>6072</v>
      </c>
    </row>
    <row r="260" spans="2:52" s="150" customFormat="1" x14ac:dyDescent="0.3">
      <c r="B260" s="243" t="s">
        <v>521</v>
      </c>
      <c r="T260" s="298">
        <f t="shared" ref="T260:Z260" si="548">T261-T259</f>
        <v>3007</v>
      </c>
      <c r="U260" s="298"/>
      <c r="V260" s="366">
        <f t="shared" si="548"/>
        <v>3054</v>
      </c>
      <c r="W260" s="298">
        <f t="shared" si="548"/>
        <v>2966</v>
      </c>
      <c r="X260" s="298"/>
      <c r="Y260" s="366">
        <f t="shared" si="548"/>
        <v>2946</v>
      </c>
      <c r="Z260" s="298">
        <f t="shared" si="548"/>
        <v>2988</v>
      </c>
      <c r="AA260" s="298"/>
      <c r="AB260" s="366">
        <f t="shared" ref="AB260:AR260" si="549">AB261-AB259</f>
        <v>3116</v>
      </c>
      <c r="AC260" s="298">
        <f t="shared" si="549"/>
        <v>3346</v>
      </c>
      <c r="AD260" s="298"/>
      <c r="AE260" s="366">
        <f t="shared" si="549"/>
        <v>3514</v>
      </c>
      <c r="AF260" s="298">
        <f t="shared" si="549"/>
        <v>3739</v>
      </c>
      <c r="AG260" s="298"/>
      <c r="AH260" s="366">
        <f t="shared" si="549"/>
        <v>3727</v>
      </c>
      <c r="AI260" s="298">
        <f t="shared" si="549"/>
        <v>3792</v>
      </c>
      <c r="AK260" s="366">
        <f t="shared" si="549"/>
        <v>3538</v>
      </c>
      <c r="AL260" s="298">
        <f t="shared" si="549"/>
        <v>3477</v>
      </c>
      <c r="AN260" s="366">
        <f t="shared" si="549"/>
        <v>3588</v>
      </c>
      <c r="AO260" s="298">
        <f t="shared" si="549"/>
        <v>3877</v>
      </c>
      <c r="AQ260" s="366">
        <f t="shared" si="549"/>
        <v>4197</v>
      </c>
      <c r="AR260" s="298">
        <f t="shared" si="549"/>
        <v>4324</v>
      </c>
      <c r="AS260" s="150">
        <f t="shared" ref="AS260:AU260" si="550">AS261-AS259</f>
        <v>4459.3447672751518</v>
      </c>
      <c r="AT260" s="366">
        <f t="shared" si="550"/>
        <v>4459.3447672751518</v>
      </c>
      <c r="AU260" s="298">
        <f t="shared" si="550"/>
        <v>4307</v>
      </c>
      <c r="AV260" s="150">
        <f>[1]Interims!BO330</f>
        <v>4075.2579999999989</v>
      </c>
      <c r="AW260" s="366">
        <f>[1]Interims!BP330</f>
        <v>4075</v>
      </c>
      <c r="AX260" s="298">
        <f>[1]Interims!BQ330</f>
        <v>3281.3950504457212</v>
      </c>
      <c r="AY260" s="150">
        <f>[1]Interims!BR330</f>
        <v>3141.0179932042374</v>
      </c>
      <c r="AZ260" s="366">
        <f>[1]Interims!BS330</f>
        <v>3141.0179932042374</v>
      </c>
    </row>
    <row r="261" spans="2:52" s="150" customFormat="1" x14ac:dyDescent="0.3">
      <c r="B261" s="365" t="s">
        <v>522</v>
      </c>
      <c r="T261" s="298">
        <v>8748</v>
      </c>
      <c r="U261" s="298"/>
      <c r="V261" s="366">
        <v>9023</v>
      </c>
      <c r="W261" s="298">
        <v>9420</v>
      </c>
      <c r="X261" s="298"/>
      <c r="Y261" s="366">
        <v>9214</v>
      </c>
      <c r="Z261" s="298">
        <v>9594</v>
      </c>
      <c r="AA261" s="298"/>
      <c r="AB261" s="366">
        <v>10000</v>
      </c>
      <c r="AC261" s="298">
        <v>10797</v>
      </c>
      <c r="AD261" s="298"/>
      <c r="AE261" s="366">
        <v>10978</v>
      </c>
      <c r="AF261" s="298">
        <v>11709</v>
      </c>
      <c r="AG261" s="298"/>
      <c r="AH261" s="366">
        <v>11509</v>
      </c>
      <c r="AI261" s="298">
        <v>11639</v>
      </c>
      <c r="AK261" s="366">
        <v>10438</v>
      </c>
      <c r="AL261" s="150">
        <v>10025</v>
      </c>
      <c r="AN261" s="366">
        <v>10778</v>
      </c>
      <c r="AO261" s="150">
        <v>12143</v>
      </c>
      <c r="AQ261" s="366">
        <v>13234</v>
      </c>
      <c r="AR261" s="150">
        <v>13423</v>
      </c>
      <c r="AS261" s="150">
        <v>13049.184707449658</v>
      </c>
      <c r="AT261" s="366">
        <v>13049.184707449658</v>
      </c>
      <c r="AU261" s="150">
        <v>12278</v>
      </c>
      <c r="AV261" s="150">
        <f>[1]Interims!BO333</f>
        <v>11120</v>
      </c>
      <c r="AW261" s="366">
        <f>[1]Interims!BP333</f>
        <v>11119.742000000002</v>
      </c>
      <c r="AX261" s="150">
        <f>[1]Interims!BQ333</f>
        <v>10335.600150445722</v>
      </c>
      <c r="AY261" s="150">
        <f>[1]Interims!BR333</f>
        <v>9524.0179932042374</v>
      </c>
      <c r="AZ261" s="366">
        <f>[1]Interims!BS333</f>
        <v>9524.0179932042374</v>
      </c>
    </row>
    <row r="262" spans="2:52" s="244" customFormat="1" x14ac:dyDescent="0.3">
      <c r="T262" s="299">
        <v>0</v>
      </c>
      <c r="U262" s="299"/>
      <c r="V262" s="367">
        <v>0</v>
      </c>
      <c r="W262" s="299">
        <v>0</v>
      </c>
      <c r="X262" s="299"/>
      <c r="Y262" s="367">
        <v>0</v>
      </c>
      <c r="Z262" s="299">
        <v>0</v>
      </c>
      <c r="AA262" s="299"/>
      <c r="AB262" s="367">
        <v>0</v>
      </c>
      <c r="AC262" s="299">
        <v>0</v>
      </c>
      <c r="AD262" s="299"/>
      <c r="AE262" s="367">
        <v>0</v>
      </c>
      <c r="AF262" s="299">
        <v>0</v>
      </c>
      <c r="AG262" s="299"/>
      <c r="AH262" s="367">
        <v>0</v>
      </c>
      <c r="AI262" s="298"/>
      <c r="AK262" s="367">
        <v>0</v>
      </c>
      <c r="AN262" s="367">
        <v>0</v>
      </c>
      <c r="AQ262" s="367">
        <v>0</v>
      </c>
      <c r="AT262" s="367"/>
      <c r="AW262" s="367"/>
      <c r="AZ262" s="367"/>
    </row>
    <row r="263" spans="2:52" s="442" customFormat="1" x14ac:dyDescent="0.3">
      <c r="B263" s="441" t="s">
        <v>523</v>
      </c>
      <c r="C263" s="442" t="s">
        <v>473</v>
      </c>
      <c r="T263" s="443">
        <v>752</v>
      </c>
      <c r="U263" s="443"/>
      <c r="V263" s="444">
        <v>773</v>
      </c>
      <c r="W263" s="443">
        <v>776</v>
      </c>
      <c r="X263" s="443"/>
      <c r="Y263" s="444">
        <v>812</v>
      </c>
      <c r="Z263" s="443">
        <v>844</v>
      </c>
      <c r="AA263" s="443"/>
      <c r="AB263" s="444">
        <v>911</v>
      </c>
      <c r="AC263" s="443">
        <v>965</v>
      </c>
      <c r="AD263" s="443"/>
      <c r="AE263" s="444">
        <v>1000</v>
      </c>
      <c r="AF263" s="443">
        <v>1069</v>
      </c>
      <c r="AG263" s="443"/>
      <c r="AH263" s="444">
        <v>1008</v>
      </c>
      <c r="AI263" s="443">
        <v>1006</v>
      </c>
      <c r="AK263" s="444">
        <v>811</v>
      </c>
      <c r="AL263" s="445">
        <v>818</v>
      </c>
      <c r="AN263" s="444">
        <v>945</v>
      </c>
      <c r="AO263" s="445">
        <v>1054</v>
      </c>
      <c r="AQ263" s="444">
        <v>1136</v>
      </c>
      <c r="AR263" s="445">
        <v>1110</v>
      </c>
      <c r="AS263" s="442">
        <v>1070.5999999999999</v>
      </c>
      <c r="AT263" s="444">
        <v>1070.5999999999999</v>
      </c>
      <c r="AU263" s="445">
        <v>887</v>
      </c>
      <c r="AV263" s="442">
        <f>[1]Interims!BO335</f>
        <v>729.1</v>
      </c>
      <c r="AW263" s="444">
        <f>[1]Interims!BP335</f>
        <v>729.1</v>
      </c>
      <c r="AX263" s="445">
        <f>[1]Interims!BQ335</f>
        <v>713.5</v>
      </c>
      <c r="AY263" s="442">
        <f>[1]Interims!BR335</f>
        <v>675</v>
      </c>
      <c r="AZ263" s="444">
        <f>[1]Interims!BS335</f>
        <v>675</v>
      </c>
    </row>
    <row r="264" spans="2:52" s="126" customFormat="1" x14ac:dyDescent="0.3">
      <c r="T264" s="302"/>
      <c r="U264" s="302"/>
      <c r="V264" s="303"/>
      <c r="W264" s="302"/>
      <c r="X264" s="302"/>
      <c r="Y264" s="303"/>
      <c r="Z264" s="302"/>
      <c r="AA264" s="302"/>
      <c r="AB264" s="303"/>
      <c r="AC264" s="302"/>
      <c r="AD264" s="302"/>
      <c r="AE264" s="303"/>
      <c r="AF264" s="302"/>
      <c r="AG264" s="302"/>
      <c r="AH264" s="303"/>
      <c r="AI264" s="315"/>
      <c r="AK264" s="303"/>
      <c r="AL264" s="127"/>
      <c r="AN264" s="303"/>
      <c r="AO264" s="127"/>
      <c r="AQ264" s="303"/>
      <c r="AR264" s="127"/>
      <c r="AT264" s="303"/>
      <c r="AU264" s="127"/>
      <c r="AW264" s="303"/>
      <c r="AX264" s="127"/>
      <c r="AZ264" s="303"/>
    </row>
    <row r="265" spans="2:52" s="129" customFormat="1" x14ac:dyDescent="0.3">
      <c r="B265" s="128" t="s">
        <v>524</v>
      </c>
      <c r="C265" s="129" t="s">
        <v>112</v>
      </c>
      <c r="T265" s="304">
        <v>866</v>
      </c>
      <c r="U265" s="304"/>
      <c r="V265" s="305">
        <v>942</v>
      </c>
      <c r="W265" s="304">
        <v>1201</v>
      </c>
      <c r="X265" s="304"/>
      <c r="Y265" s="305">
        <v>1213</v>
      </c>
      <c r="Z265" s="304">
        <v>1359</v>
      </c>
      <c r="AA265" s="304"/>
      <c r="AB265" s="305">
        <v>1503</v>
      </c>
      <c r="AC265" s="304">
        <v>1769</v>
      </c>
      <c r="AD265" s="304"/>
      <c r="AE265" s="305">
        <v>1700</v>
      </c>
      <c r="AF265" s="304">
        <v>1824</v>
      </c>
      <c r="AG265" s="304"/>
      <c r="AH265" s="305">
        <v>1801</v>
      </c>
      <c r="AI265" s="304">
        <v>1759</v>
      </c>
      <c r="AK265" s="305">
        <v>1560</v>
      </c>
      <c r="AL265" s="130">
        <v>1557</v>
      </c>
      <c r="AN265" s="305">
        <v>1620</v>
      </c>
      <c r="AO265" s="130">
        <v>1745</v>
      </c>
      <c r="AQ265" s="305">
        <v>2016</v>
      </c>
      <c r="AR265" s="130">
        <v>2072</v>
      </c>
      <c r="AS265" s="129">
        <v>2044.34375</v>
      </c>
      <c r="AT265" s="305">
        <v>2044.34375</v>
      </c>
      <c r="AU265" s="130">
        <v>2055</v>
      </c>
      <c r="AV265" s="129">
        <f>[1]Interims!BO339</f>
        <v>1858.2380000000001</v>
      </c>
      <c r="AW265" s="305">
        <f>[1]Interims!BP339</f>
        <v>1858.2380000000001</v>
      </c>
      <c r="AX265" s="130">
        <f>[1]Interims!BQ339</f>
        <v>1783.5651</v>
      </c>
      <c r="AY265" s="129">
        <f>[1]Interims!BR339</f>
        <v>1624</v>
      </c>
      <c r="AZ265" s="305">
        <f>[1]Interims!BS339</f>
        <v>1624</v>
      </c>
    </row>
    <row r="266" spans="2:52" s="126" customFormat="1" x14ac:dyDescent="0.3">
      <c r="T266" s="302"/>
      <c r="U266" s="302"/>
      <c r="V266" s="303"/>
      <c r="W266" s="302"/>
      <c r="X266" s="302"/>
      <c r="Y266" s="303"/>
      <c r="Z266" s="302"/>
      <c r="AA266" s="302"/>
      <c r="AB266" s="303"/>
      <c r="AC266" s="302"/>
      <c r="AD266" s="302"/>
      <c r="AE266" s="303"/>
      <c r="AF266" s="302"/>
      <c r="AG266" s="302"/>
      <c r="AH266" s="303"/>
      <c r="AI266" s="315"/>
      <c r="AK266" s="303"/>
      <c r="AL266" s="127"/>
      <c r="AN266" s="303"/>
      <c r="AO266" s="127"/>
      <c r="AQ266" s="303"/>
      <c r="AR266" s="127"/>
      <c r="AT266" s="303"/>
      <c r="AU266" s="127"/>
      <c r="AW266" s="303"/>
      <c r="AX266" s="127"/>
      <c r="AZ266" s="303"/>
    </row>
    <row r="267" spans="2:52" s="218" customFormat="1" x14ac:dyDescent="0.3">
      <c r="B267" s="217" t="s">
        <v>525</v>
      </c>
      <c r="C267" s="218" t="s">
        <v>113</v>
      </c>
      <c r="T267" s="300">
        <v>2155</v>
      </c>
      <c r="U267" s="300"/>
      <c r="V267" s="301">
        <v>2203</v>
      </c>
      <c r="W267" s="300">
        <v>2207</v>
      </c>
      <c r="X267" s="300"/>
      <c r="Y267" s="301">
        <v>2024</v>
      </c>
      <c r="Z267" s="300">
        <v>1978</v>
      </c>
      <c r="AA267" s="300"/>
      <c r="AB267" s="301">
        <v>1948</v>
      </c>
      <c r="AC267" s="300">
        <v>1974</v>
      </c>
      <c r="AD267" s="300"/>
      <c r="AE267" s="301">
        <v>1917</v>
      </c>
      <c r="AF267" s="300">
        <v>1967</v>
      </c>
      <c r="AG267" s="300"/>
      <c r="AH267" s="301">
        <v>1960</v>
      </c>
      <c r="AI267" s="300">
        <v>1991</v>
      </c>
      <c r="AK267" s="301">
        <v>1840</v>
      </c>
      <c r="AL267" s="219">
        <v>1589</v>
      </c>
      <c r="AN267" s="301">
        <v>1759</v>
      </c>
      <c r="AO267" s="219">
        <v>1958</v>
      </c>
      <c r="AQ267" s="301">
        <v>2175</v>
      </c>
      <c r="AR267" s="219">
        <v>2082</v>
      </c>
      <c r="AS267" s="218">
        <v>1935.2199999999998</v>
      </c>
      <c r="AT267" s="301">
        <v>1935.2199999999998</v>
      </c>
      <c r="AU267" s="219">
        <v>1800</v>
      </c>
      <c r="AV267" s="218">
        <f>[1]Interims!BO343</f>
        <v>1628.79</v>
      </c>
      <c r="AW267" s="301">
        <f>[1]Interims!BP343</f>
        <v>1628.79</v>
      </c>
      <c r="AX267" s="219">
        <f>[1]Interims!BQ343</f>
        <v>1503.04</v>
      </c>
      <c r="AY267" s="218">
        <f>[1]Interims!BR343</f>
        <v>1285</v>
      </c>
      <c r="AZ267" s="301">
        <f>[1]Interims!BS343</f>
        <v>1285</v>
      </c>
    </row>
    <row r="268" spans="2:52" s="126" customFormat="1" x14ac:dyDescent="0.3">
      <c r="T268" s="302"/>
      <c r="U268" s="302"/>
      <c r="V268" s="303"/>
      <c r="W268" s="302"/>
      <c r="X268" s="302"/>
      <c r="Y268" s="303"/>
      <c r="Z268" s="302"/>
      <c r="AA268" s="302"/>
      <c r="AB268" s="303"/>
      <c r="AC268" s="302"/>
      <c r="AD268" s="302"/>
      <c r="AE268" s="303"/>
      <c r="AF268" s="302"/>
      <c r="AG268" s="302"/>
      <c r="AH268" s="303"/>
      <c r="AI268" s="315"/>
      <c r="AK268" s="303"/>
      <c r="AL268" s="127"/>
      <c r="AN268" s="303"/>
      <c r="AO268" s="127"/>
      <c r="AQ268" s="303"/>
      <c r="AR268" s="127"/>
      <c r="AT268" s="303"/>
      <c r="AU268" s="127"/>
      <c r="AW268" s="303"/>
      <c r="AX268" s="127"/>
      <c r="AZ268" s="303"/>
    </row>
    <row r="269" spans="2:52" s="447" customFormat="1" x14ac:dyDescent="0.3">
      <c r="B269" s="446" t="s">
        <v>526</v>
      </c>
      <c r="C269" s="447" t="s">
        <v>139</v>
      </c>
      <c r="T269" s="448">
        <v>1968</v>
      </c>
      <c r="U269" s="448"/>
      <c r="V269" s="449">
        <v>2051</v>
      </c>
      <c r="W269" s="448">
        <f>W259-SUM(W263,W265,W267)</f>
        <v>2270</v>
      </c>
      <c r="X269" s="448"/>
      <c r="Y269" s="449">
        <v>2219</v>
      </c>
      <c r="Z269" s="448">
        <f>Z259-SUM(Z263,Z265,Z267)</f>
        <v>2425</v>
      </c>
      <c r="AA269" s="448"/>
      <c r="AB269" s="449">
        <v>2522</v>
      </c>
      <c r="AC269" s="448">
        <v>2743</v>
      </c>
      <c r="AD269" s="448"/>
      <c r="AE269" s="449">
        <v>2847</v>
      </c>
      <c r="AF269" s="448">
        <v>3110</v>
      </c>
      <c r="AG269" s="448"/>
      <c r="AH269" s="449">
        <v>3013</v>
      </c>
      <c r="AI269" s="448">
        <v>3091</v>
      </c>
      <c r="AK269" s="449">
        <v>2689</v>
      </c>
      <c r="AL269" s="450">
        <v>2584</v>
      </c>
      <c r="AN269" s="449">
        <v>2866</v>
      </c>
      <c r="AO269" s="450">
        <v>3509</v>
      </c>
      <c r="AQ269" s="449">
        <v>3710</v>
      </c>
      <c r="AR269" s="450">
        <v>3835</v>
      </c>
      <c r="AS269" s="447">
        <v>8589.8399401745064</v>
      </c>
      <c r="AT269" s="449">
        <v>8589.8399401745064</v>
      </c>
      <c r="AU269" s="450">
        <v>3229</v>
      </c>
      <c r="AV269" s="447">
        <f>[1]Interims!BO347</f>
        <v>2828.6140000000005</v>
      </c>
      <c r="AW269" s="449">
        <f>[1]Interims!BP347</f>
        <v>2828.6140000000005</v>
      </c>
      <c r="AX269" s="450">
        <f>[1]Interims!BQ347</f>
        <v>2809</v>
      </c>
      <c r="AY269" s="447">
        <f>[1]Interims!BR347</f>
        <v>2486</v>
      </c>
      <c r="AZ269" s="449">
        <f>[1]Interims!BS347</f>
        <v>2486</v>
      </c>
    </row>
    <row r="270" spans="2:52" x14ac:dyDescent="0.3">
      <c r="Y270" s="291"/>
    </row>
    <row r="271" spans="2:52" s="377" customFormat="1" x14ac:dyDescent="0.3">
      <c r="T271" s="376"/>
      <c r="U271" s="378"/>
      <c r="V271" s="308"/>
      <c r="W271" s="376"/>
      <c r="X271" s="378"/>
      <c r="Y271" s="308"/>
      <c r="Z271" s="376"/>
      <c r="AA271" s="378"/>
      <c r="AB271" s="308"/>
      <c r="AC271" s="376"/>
      <c r="AD271" s="378"/>
      <c r="AE271" s="308"/>
      <c r="AF271" s="376"/>
      <c r="AG271" s="379"/>
      <c r="AH271" s="308"/>
      <c r="AI271" s="376"/>
      <c r="AK271" s="308"/>
      <c r="AL271" s="376"/>
      <c r="AN271" s="308"/>
      <c r="AO271" s="376"/>
      <c r="AQ271" s="308"/>
      <c r="AR271" s="376"/>
      <c r="AT271" s="308"/>
      <c r="AU271" s="376"/>
      <c r="AW271" s="308"/>
      <c r="AX271" s="376"/>
      <c r="AZ271" s="308"/>
    </row>
  </sheetData>
  <mergeCells count="22">
    <mergeCell ref="AY12:AY13"/>
    <mergeCell ref="AJ12:AJ13"/>
    <mergeCell ref="AI12:AI13"/>
    <mergeCell ref="AU12:AU13"/>
    <mergeCell ref="AS12:AS13"/>
    <mergeCell ref="AR12:AR13"/>
    <mergeCell ref="AP12:AP13"/>
    <mergeCell ref="AO12:AO13"/>
    <mergeCell ref="AM12:AM13"/>
    <mergeCell ref="AV12:AV13"/>
    <mergeCell ref="AX12:AX13"/>
    <mergeCell ref="AL12:AL13"/>
    <mergeCell ref="T12:T13"/>
    <mergeCell ref="AG12:AG13"/>
    <mergeCell ref="AF12:AF13"/>
    <mergeCell ref="AC12:AC13"/>
    <mergeCell ref="AD12:AD13"/>
    <mergeCell ref="Z12:Z13"/>
    <mergeCell ref="AA12:AA13"/>
    <mergeCell ref="X12:X13"/>
    <mergeCell ref="U12:U13"/>
    <mergeCell ref="W12:W13"/>
  </mergeCells>
  <conditionalFormatting sqref="D3:S3">
    <cfRule type="expression" dxfId="1" priority="1">
      <formula>"SUM($191:$191)=0"</formula>
    </cfRule>
    <cfRule type="expression" dxfId="0" priority="2">
      <formula>"SUM($191:$191)&lt;&gt;0"</formula>
    </cfRule>
  </conditionalFormatting>
  <pageMargins left="0.11811023622047245" right="0.11811023622047245" top="0.35433070866141736" bottom="0.35433070866141736" header="0.31496062992125984" footer="0.31496062992125984"/>
  <pageSetup paperSize="9" scale="32" fitToHeight="2" orientation="portrait" r:id="rId1"/>
  <rowBreaks count="1" manualBreakCount="1">
    <brk id="151" min="1" max="45" man="1"/>
  </rowBreaks>
  <ignoredErrors>
    <ignoredError sqref="V145:AF145" formula="1"/>
    <ignoredError sqref="T172" formulaRange="1"/>
  </ignoredError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EC02E-6894-4D13-9221-DD70929BB173}">
  <sheetPr codeName="Sheet9">
    <tabColor theme="8"/>
  </sheetPr>
  <dimension ref="A1:F361"/>
  <sheetViews>
    <sheetView workbookViewId="0"/>
  </sheetViews>
  <sheetFormatPr defaultRowHeight="14.5" x14ac:dyDescent="0.35"/>
  <cols>
    <col min="1" max="1" width="42.1796875" bestFit="1" customWidth="1"/>
  </cols>
  <sheetData>
    <row r="1" spans="1:6" ht="15" thickBot="1" x14ac:dyDescent="0.4">
      <c r="A1" s="80" t="s">
        <v>447</v>
      </c>
      <c r="B1" s="81" t="s">
        <v>152</v>
      </c>
      <c r="C1" s="60"/>
      <c r="D1" s="60"/>
      <c r="E1" s="60"/>
      <c r="F1" s="60"/>
    </row>
    <row r="2" spans="1:6" ht="26.5" thickBot="1" x14ac:dyDescent="0.4">
      <c r="A2" s="63" t="s">
        <v>448</v>
      </c>
      <c r="B2" s="64" t="s">
        <v>153</v>
      </c>
      <c r="C2" s="65"/>
      <c r="D2" s="65"/>
      <c r="E2" s="65"/>
      <c r="F2" s="65"/>
    </row>
    <row r="3" spans="1:6" x14ac:dyDescent="0.35">
      <c r="A3" s="63"/>
      <c r="B3" s="66"/>
      <c r="C3" s="65"/>
      <c r="D3" s="65"/>
      <c r="E3" s="65"/>
      <c r="F3" s="65"/>
    </row>
    <row r="4" spans="1:6" x14ac:dyDescent="0.35">
      <c r="A4" s="61" t="s">
        <v>154</v>
      </c>
      <c r="B4" s="66"/>
      <c r="C4" s="65"/>
      <c r="D4" s="65"/>
      <c r="E4" s="65"/>
      <c r="F4" s="65"/>
    </row>
    <row r="5" spans="1:6" x14ac:dyDescent="0.35">
      <c r="A5" s="67" t="s">
        <v>155</v>
      </c>
      <c r="B5" s="68">
        <v>1</v>
      </c>
      <c r="C5" s="62"/>
      <c r="D5" s="62"/>
      <c r="E5" s="62"/>
      <c r="F5" s="62"/>
    </row>
    <row r="6" spans="1:6" x14ac:dyDescent="0.35">
      <c r="A6" s="67" t="s">
        <v>156</v>
      </c>
      <c r="B6" s="68">
        <v>1</v>
      </c>
      <c r="C6" s="62"/>
      <c r="D6" s="62"/>
      <c r="E6" s="62"/>
      <c r="F6" s="62"/>
    </row>
    <row r="7" spans="1:6" x14ac:dyDescent="0.35">
      <c r="A7" s="67" t="s">
        <v>157</v>
      </c>
      <c r="B7" s="68">
        <v>1</v>
      </c>
      <c r="C7" s="62"/>
      <c r="D7" s="62"/>
      <c r="E7" s="62"/>
      <c r="F7" s="62"/>
    </row>
    <row r="8" spans="1:6" x14ac:dyDescent="0.35">
      <c r="A8" s="67" t="s">
        <v>158</v>
      </c>
      <c r="B8" s="70">
        <v>1</v>
      </c>
      <c r="C8" s="62"/>
      <c r="D8" s="62"/>
      <c r="E8" s="62"/>
      <c r="F8" s="62"/>
    </row>
    <row r="9" spans="1:6" x14ac:dyDescent="0.35">
      <c r="A9" s="67" t="s">
        <v>159</v>
      </c>
      <c r="B9" s="68">
        <v>1</v>
      </c>
      <c r="C9" s="62"/>
      <c r="D9" s="62"/>
      <c r="E9" s="62"/>
      <c r="F9" s="62"/>
    </row>
    <row r="10" spans="1:6" x14ac:dyDescent="0.35">
      <c r="A10" s="67" t="s">
        <v>160</v>
      </c>
      <c r="B10" s="68">
        <v>1</v>
      </c>
      <c r="C10" s="62"/>
      <c r="D10" s="62"/>
      <c r="E10" s="62"/>
      <c r="F10" s="62"/>
    </row>
    <row r="11" spans="1:6" x14ac:dyDescent="0.35">
      <c r="A11" s="67" t="s">
        <v>161</v>
      </c>
      <c r="B11" s="68">
        <v>1</v>
      </c>
      <c r="C11" s="62"/>
      <c r="D11" s="62"/>
      <c r="E11" s="62"/>
      <c r="F11" s="62"/>
    </row>
    <row r="12" spans="1:6" x14ac:dyDescent="0.35">
      <c r="A12" s="67" t="s">
        <v>162</v>
      </c>
      <c r="B12" s="68">
        <v>1</v>
      </c>
      <c r="C12" s="62"/>
      <c r="D12" s="62"/>
      <c r="E12" s="62"/>
      <c r="F12" s="62"/>
    </row>
    <row r="13" spans="1:6" x14ac:dyDescent="0.35">
      <c r="A13" s="67" t="s">
        <v>163</v>
      </c>
      <c r="B13" s="68">
        <v>1</v>
      </c>
      <c r="C13" s="62"/>
      <c r="D13" s="62"/>
      <c r="E13" s="62"/>
      <c r="F13" s="62"/>
    </row>
    <row r="14" spans="1:6" x14ac:dyDescent="0.35">
      <c r="A14" s="67" t="s">
        <v>164</v>
      </c>
      <c r="B14" s="68">
        <v>1</v>
      </c>
      <c r="C14" s="62"/>
      <c r="D14" s="62"/>
      <c r="E14" s="62"/>
      <c r="F14" s="62"/>
    </row>
    <row r="15" spans="1:6" x14ac:dyDescent="0.35">
      <c r="A15" s="67" t="s">
        <v>165</v>
      </c>
      <c r="B15" s="68">
        <v>1</v>
      </c>
      <c r="C15" s="62"/>
      <c r="D15" s="62"/>
      <c r="E15" s="62"/>
      <c r="F15" s="62"/>
    </row>
    <row r="16" spans="1:6" x14ac:dyDescent="0.35">
      <c r="A16" s="67" t="s">
        <v>166</v>
      </c>
      <c r="B16" s="68">
        <v>1</v>
      </c>
      <c r="C16" s="62"/>
      <c r="D16" s="62"/>
      <c r="E16" s="62"/>
      <c r="F16" s="62"/>
    </row>
    <row r="17" spans="1:6" x14ac:dyDescent="0.35">
      <c r="A17" s="67" t="s">
        <v>167</v>
      </c>
      <c r="B17" s="68">
        <v>1</v>
      </c>
      <c r="C17" s="62"/>
      <c r="D17" s="62"/>
      <c r="E17" s="62"/>
      <c r="F17" s="62"/>
    </row>
    <row r="18" spans="1:6" x14ac:dyDescent="0.35">
      <c r="A18" s="67" t="s">
        <v>168</v>
      </c>
      <c r="B18" s="68">
        <v>1</v>
      </c>
      <c r="C18" s="62"/>
      <c r="D18" s="62"/>
      <c r="E18" s="62"/>
      <c r="F18" s="62"/>
    </row>
    <row r="19" spans="1:6" x14ac:dyDescent="0.35">
      <c r="A19" s="67" t="s">
        <v>169</v>
      </c>
      <c r="B19" s="68">
        <v>1</v>
      </c>
      <c r="C19" s="67"/>
      <c r="D19" s="62"/>
      <c r="E19" s="62"/>
      <c r="F19" s="62"/>
    </row>
    <row r="20" spans="1:6" x14ac:dyDescent="0.35">
      <c r="A20" s="67" t="s">
        <v>170</v>
      </c>
      <c r="B20" s="68">
        <v>1</v>
      </c>
      <c r="C20" s="62"/>
      <c r="D20" s="62"/>
      <c r="E20" s="62"/>
      <c r="F20" s="62"/>
    </row>
    <row r="21" spans="1:6" x14ac:dyDescent="0.35">
      <c r="A21" s="67" t="s">
        <v>171</v>
      </c>
      <c r="B21" s="68">
        <v>1</v>
      </c>
      <c r="C21" s="62"/>
      <c r="D21" s="62"/>
      <c r="E21" s="62"/>
      <c r="F21" s="62"/>
    </row>
    <row r="22" spans="1:6" x14ac:dyDescent="0.35">
      <c r="A22" s="67" t="s">
        <v>172</v>
      </c>
      <c r="B22" s="68">
        <v>1</v>
      </c>
      <c r="C22" s="62"/>
      <c r="D22" s="62"/>
      <c r="E22" s="62"/>
      <c r="F22" s="62"/>
    </row>
    <row r="23" spans="1:6" x14ac:dyDescent="0.35">
      <c r="A23" s="67" t="s">
        <v>173</v>
      </c>
      <c r="B23" s="68">
        <v>1</v>
      </c>
      <c r="C23" s="62"/>
      <c r="D23" s="62"/>
      <c r="E23" s="62"/>
      <c r="F23" s="62"/>
    </row>
    <row r="24" spans="1:6" x14ac:dyDescent="0.35">
      <c r="A24" s="67" t="s">
        <v>174</v>
      </c>
      <c r="B24" s="68">
        <v>1</v>
      </c>
      <c r="C24" s="62"/>
      <c r="D24" s="62"/>
      <c r="E24" s="62"/>
      <c r="F24" s="62"/>
    </row>
    <row r="25" spans="1:6" x14ac:dyDescent="0.35">
      <c r="A25" s="67" t="s">
        <v>175</v>
      </c>
      <c r="B25" s="68">
        <v>1</v>
      </c>
      <c r="C25" s="62"/>
      <c r="D25" s="62"/>
      <c r="E25" s="62"/>
      <c r="F25" s="62"/>
    </row>
    <row r="26" spans="1:6" x14ac:dyDescent="0.35">
      <c r="A26" s="67" t="s">
        <v>176</v>
      </c>
      <c r="B26" s="68">
        <v>1</v>
      </c>
      <c r="C26" s="62"/>
      <c r="D26" s="62"/>
      <c r="E26" s="62"/>
      <c r="F26" s="62"/>
    </row>
    <row r="27" spans="1:6" x14ac:dyDescent="0.35">
      <c r="A27" s="67" t="s">
        <v>177</v>
      </c>
      <c r="B27" s="68">
        <v>1</v>
      </c>
      <c r="C27" s="62"/>
      <c r="D27" s="62"/>
      <c r="E27" s="62"/>
      <c r="F27" s="62"/>
    </row>
    <row r="28" spans="1:6" x14ac:dyDescent="0.35">
      <c r="A28" s="67" t="s">
        <v>178</v>
      </c>
      <c r="B28" s="68">
        <v>1</v>
      </c>
      <c r="C28" s="62"/>
      <c r="D28" s="62"/>
      <c r="E28" s="62"/>
      <c r="F28" s="62"/>
    </row>
    <row r="29" spans="1:6" x14ac:dyDescent="0.35">
      <c r="A29" s="67" t="s">
        <v>179</v>
      </c>
      <c r="B29" s="68">
        <v>1</v>
      </c>
      <c r="C29" s="62"/>
      <c r="D29" s="62"/>
      <c r="E29" s="62"/>
      <c r="F29" s="62"/>
    </row>
    <row r="30" spans="1:6" x14ac:dyDescent="0.35">
      <c r="A30" s="67" t="s">
        <v>180</v>
      </c>
      <c r="B30" s="68">
        <v>1</v>
      </c>
      <c r="C30" s="62"/>
      <c r="D30" s="62"/>
      <c r="E30" s="62"/>
      <c r="F30" s="62"/>
    </row>
    <row r="31" spans="1:6" x14ac:dyDescent="0.35">
      <c r="A31" s="67" t="s">
        <v>181</v>
      </c>
      <c r="B31" s="68">
        <v>1</v>
      </c>
      <c r="C31" s="62" t="s">
        <v>182</v>
      </c>
      <c r="D31" s="62"/>
      <c r="E31" s="62"/>
      <c r="F31" s="62"/>
    </row>
    <row r="32" spans="1:6" x14ac:dyDescent="0.35">
      <c r="A32" s="67" t="s">
        <v>183</v>
      </c>
      <c r="B32" s="68">
        <v>1</v>
      </c>
      <c r="C32" s="62"/>
      <c r="D32" s="62"/>
      <c r="E32" s="62"/>
      <c r="F32" s="62"/>
    </row>
    <row r="33" spans="1:6" x14ac:dyDescent="0.35">
      <c r="A33" s="69" t="s">
        <v>184</v>
      </c>
      <c r="B33" s="68">
        <v>1</v>
      </c>
      <c r="C33" s="62"/>
      <c r="D33" s="62"/>
      <c r="E33" s="62"/>
      <c r="F33" s="62"/>
    </row>
    <row r="34" spans="1:6" x14ac:dyDescent="0.35">
      <c r="A34" s="67" t="s">
        <v>185</v>
      </c>
      <c r="B34" s="68">
        <v>1</v>
      </c>
      <c r="C34" s="62"/>
      <c r="D34" s="62"/>
      <c r="E34" s="62"/>
      <c r="F34" s="62"/>
    </row>
    <row r="35" spans="1:6" x14ac:dyDescent="0.35">
      <c r="A35" s="67" t="s">
        <v>186</v>
      </c>
      <c r="B35" s="68">
        <v>1</v>
      </c>
      <c r="C35" s="62"/>
      <c r="D35" s="62"/>
      <c r="E35" s="62"/>
      <c r="F35" s="62"/>
    </row>
    <row r="36" spans="1:6" x14ac:dyDescent="0.35">
      <c r="A36" s="67" t="s">
        <v>187</v>
      </c>
      <c r="B36" s="68">
        <v>1</v>
      </c>
      <c r="C36" s="62"/>
      <c r="D36" s="62"/>
      <c r="E36" s="62"/>
      <c r="F36" s="62"/>
    </row>
    <row r="37" spans="1:6" x14ac:dyDescent="0.35">
      <c r="A37" s="67" t="s">
        <v>188</v>
      </c>
      <c r="B37" s="68">
        <v>1</v>
      </c>
      <c r="C37" s="62"/>
      <c r="D37" s="62"/>
      <c r="E37" s="62"/>
      <c r="F37" s="62"/>
    </row>
    <row r="38" spans="1:6" x14ac:dyDescent="0.35">
      <c r="A38" s="67" t="s">
        <v>189</v>
      </c>
      <c r="B38" s="68">
        <v>1</v>
      </c>
      <c r="C38" s="62"/>
      <c r="D38" s="62"/>
      <c r="E38" s="62"/>
      <c r="F38" s="62"/>
    </row>
    <row r="39" spans="1:6" x14ac:dyDescent="0.35">
      <c r="A39" s="67" t="s">
        <v>190</v>
      </c>
      <c r="B39" s="68">
        <v>1</v>
      </c>
      <c r="C39" s="62"/>
      <c r="D39" s="62"/>
      <c r="E39" s="62"/>
      <c r="F39" s="62"/>
    </row>
    <row r="40" spans="1:6" x14ac:dyDescent="0.35">
      <c r="A40" s="67" t="s">
        <v>191</v>
      </c>
      <c r="B40" s="68">
        <v>1</v>
      </c>
      <c r="C40" s="62"/>
      <c r="D40" s="62"/>
      <c r="E40" s="62"/>
      <c r="F40" s="62"/>
    </row>
    <row r="41" spans="1:6" x14ac:dyDescent="0.35">
      <c r="A41" s="67" t="s">
        <v>192</v>
      </c>
      <c r="B41" s="68">
        <v>1</v>
      </c>
      <c r="C41" s="62"/>
      <c r="D41" s="62"/>
      <c r="E41" s="62"/>
      <c r="F41" s="62"/>
    </row>
    <row r="42" spans="1:6" x14ac:dyDescent="0.35">
      <c r="A42" s="67" t="s">
        <v>193</v>
      </c>
      <c r="B42" s="68">
        <v>1</v>
      </c>
      <c r="C42" s="62"/>
      <c r="D42" s="62"/>
      <c r="E42" s="62"/>
      <c r="F42" s="62"/>
    </row>
    <row r="43" spans="1:6" x14ac:dyDescent="0.35">
      <c r="A43" s="67" t="s">
        <v>194</v>
      </c>
      <c r="B43" s="68">
        <v>1</v>
      </c>
      <c r="C43" s="62"/>
      <c r="D43" s="62"/>
      <c r="E43" s="62"/>
      <c r="F43" s="62"/>
    </row>
    <row r="44" spans="1:6" x14ac:dyDescent="0.35">
      <c r="A44" s="67" t="s">
        <v>195</v>
      </c>
      <c r="B44" s="68">
        <v>1</v>
      </c>
      <c r="C44" s="62"/>
      <c r="D44" s="62"/>
      <c r="E44" s="62"/>
      <c r="F44" s="62"/>
    </row>
    <row r="45" spans="1:6" x14ac:dyDescent="0.35">
      <c r="A45" s="67" t="s">
        <v>196</v>
      </c>
      <c r="B45" s="68">
        <v>1</v>
      </c>
      <c r="C45" s="62"/>
      <c r="D45" s="62"/>
      <c r="E45" s="62"/>
      <c r="F45" s="62"/>
    </row>
    <row r="46" spans="1:6" x14ac:dyDescent="0.35">
      <c r="A46" s="67" t="s">
        <v>197</v>
      </c>
      <c r="B46" s="68">
        <v>1</v>
      </c>
      <c r="C46" s="62"/>
      <c r="D46" s="62"/>
      <c r="E46" s="62"/>
      <c r="F46" s="62"/>
    </row>
    <row r="47" spans="1:6" x14ac:dyDescent="0.35">
      <c r="A47" s="67" t="s">
        <v>198</v>
      </c>
      <c r="B47" s="68">
        <v>1</v>
      </c>
      <c r="C47" s="62"/>
      <c r="D47" s="62"/>
      <c r="E47" s="62"/>
      <c r="F47" s="62"/>
    </row>
    <row r="48" spans="1:6" x14ac:dyDescent="0.35">
      <c r="A48" s="67" t="s">
        <v>199</v>
      </c>
      <c r="B48" s="68">
        <v>1</v>
      </c>
      <c r="C48" s="62"/>
      <c r="D48" s="62"/>
      <c r="E48" s="62"/>
      <c r="F48" s="62"/>
    </row>
    <row r="49" spans="1:6" x14ac:dyDescent="0.35">
      <c r="A49" s="67" t="s">
        <v>200</v>
      </c>
      <c r="B49" s="68">
        <v>1</v>
      </c>
      <c r="C49" s="62"/>
      <c r="D49" s="62"/>
      <c r="E49" s="62"/>
      <c r="F49" s="62"/>
    </row>
    <row r="50" spans="1:6" x14ac:dyDescent="0.35">
      <c r="A50" s="67" t="s">
        <v>201</v>
      </c>
      <c r="B50" s="68">
        <v>1</v>
      </c>
      <c r="C50" s="62"/>
      <c r="D50" s="62"/>
      <c r="E50" s="62"/>
      <c r="F50" s="62"/>
    </row>
    <row r="51" spans="1:6" x14ac:dyDescent="0.35">
      <c r="A51" s="67" t="s">
        <v>202</v>
      </c>
      <c r="B51" s="68">
        <v>1</v>
      </c>
      <c r="C51" s="62"/>
      <c r="D51" s="62"/>
      <c r="E51" s="62"/>
      <c r="F51" s="62"/>
    </row>
    <row r="52" spans="1:6" x14ac:dyDescent="0.35">
      <c r="A52" s="67" t="s">
        <v>203</v>
      </c>
      <c r="B52" s="68">
        <v>1</v>
      </c>
      <c r="C52" s="62"/>
      <c r="D52" s="62"/>
      <c r="E52" s="62"/>
      <c r="F52" s="62"/>
    </row>
    <row r="53" spans="1:6" x14ac:dyDescent="0.35">
      <c r="A53" s="67" t="s">
        <v>204</v>
      </c>
      <c r="B53" s="68">
        <v>1</v>
      </c>
      <c r="C53" s="62"/>
      <c r="D53" s="62"/>
      <c r="E53" s="62"/>
      <c r="F53" s="62"/>
    </row>
    <row r="54" spans="1:6" x14ac:dyDescent="0.35">
      <c r="A54" s="67" t="s">
        <v>205</v>
      </c>
      <c r="B54" s="68">
        <v>1</v>
      </c>
      <c r="C54" s="62"/>
      <c r="D54" s="62"/>
      <c r="E54" s="62"/>
      <c r="F54" s="62"/>
    </row>
    <row r="55" spans="1:6" x14ac:dyDescent="0.35">
      <c r="A55" s="67" t="s">
        <v>206</v>
      </c>
      <c r="B55" s="68">
        <v>1</v>
      </c>
      <c r="C55" s="62"/>
      <c r="D55" s="62"/>
      <c r="E55" s="62"/>
      <c r="F55" s="62"/>
    </row>
    <row r="56" spans="1:6" x14ac:dyDescent="0.35">
      <c r="A56" s="67" t="s">
        <v>207</v>
      </c>
      <c r="B56" s="68">
        <v>1</v>
      </c>
      <c r="C56" s="62"/>
      <c r="D56" s="62"/>
      <c r="E56" s="62"/>
      <c r="F56" s="62"/>
    </row>
    <row r="57" spans="1:6" x14ac:dyDescent="0.35">
      <c r="A57" s="69" t="s">
        <v>208</v>
      </c>
      <c r="B57" s="68">
        <v>1</v>
      </c>
      <c r="C57" s="62"/>
      <c r="D57" s="62"/>
      <c r="E57" s="62"/>
      <c r="F57" s="62"/>
    </row>
    <row r="58" spans="1:6" x14ac:dyDescent="0.35">
      <c r="A58" s="67" t="s">
        <v>210</v>
      </c>
      <c r="B58" s="70">
        <v>1</v>
      </c>
      <c r="C58" s="62"/>
      <c r="D58" s="62"/>
      <c r="E58" s="62"/>
      <c r="F58" s="62"/>
    </row>
    <row r="59" spans="1:6" x14ac:dyDescent="0.35">
      <c r="A59" s="67" t="s">
        <v>211</v>
      </c>
      <c r="B59" s="68">
        <v>1</v>
      </c>
      <c r="C59" s="62"/>
      <c r="D59" s="62"/>
      <c r="E59" s="62"/>
      <c r="F59" s="62"/>
    </row>
    <row r="60" spans="1:6" x14ac:dyDescent="0.35">
      <c r="A60" s="67" t="s">
        <v>212</v>
      </c>
      <c r="B60" s="68">
        <v>1</v>
      </c>
      <c r="C60" s="62"/>
      <c r="D60" s="62"/>
      <c r="E60" s="62"/>
      <c r="F60" s="62"/>
    </row>
    <row r="61" spans="1:6" x14ac:dyDescent="0.35">
      <c r="A61" s="71" t="s">
        <v>213</v>
      </c>
      <c r="B61" s="68">
        <v>1</v>
      </c>
      <c r="C61" s="62"/>
      <c r="D61" s="62"/>
      <c r="E61" s="62"/>
      <c r="F61" s="62"/>
    </row>
    <row r="62" spans="1:6" x14ac:dyDescent="0.35">
      <c r="A62" s="67" t="s">
        <v>214</v>
      </c>
      <c r="B62" s="68">
        <v>1</v>
      </c>
      <c r="C62" s="62"/>
      <c r="D62" s="62"/>
      <c r="E62" s="62"/>
      <c r="F62" s="62"/>
    </row>
    <row r="63" spans="1:6" x14ac:dyDescent="0.35">
      <c r="A63" s="67" t="s">
        <v>215</v>
      </c>
      <c r="B63" s="68">
        <v>1</v>
      </c>
      <c r="C63" s="62"/>
      <c r="D63" s="62"/>
      <c r="E63" s="62"/>
      <c r="F63" s="62"/>
    </row>
    <row r="64" spans="1:6" x14ac:dyDescent="0.35">
      <c r="A64" s="67" t="s">
        <v>216</v>
      </c>
      <c r="B64" s="68">
        <v>1</v>
      </c>
      <c r="C64" s="62"/>
      <c r="D64" s="62"/>
      <c r="E64" s="62"/>
      <c r="F64" s="62"/>
    </row>
    <row r="65" spans="1:6" x14ac:dyDescent="0.35">
      <c r="A65" s="67" t="s">
        <v>217</v>
      </c>
      <c r="B65" s="68">
        <v>1</v>
      </c>
      <c r="C65" s="62"/>
      <c r="D65" s="62"/>
      <c r="E65" s="62"/>
      <c r="F65" s="62"/>
    </row>
    <row r="66" spans="1:6" x14ac:dyDescent="0.35">
      <c r="A66" s="67" t="s">
        <v>218</v>
      </c>
      <c r="B66" s="68">
        <v>1</v>
      </c>
      <c r="C66" s="62"/>
      <c r="D66" s="62"/>
      <c r="E66" s="62"/>
      <c r="F66" s="62"/>
    </row>
    <row r="67" spans="1:6" x14ac:dyDescent="0.35">
      <c r="A67" s="67" t="s">
        <v>219</v>
      </c>
      <c r="B67" s="68">
        <v>1</v>
      </c>
      <c r="C67" s="62"/>
      <c r="D67" s="62"/>
      <c r="E67" s="62"/>
      <c r="F67" s="62"/>
    </row>
    <row r="68" spans="1:6" x14ac:dyDescent="0.35">
      <c r="A68" s="67" t="s">
        <v>220</v>
      </c>
      <c r="B68" s="68">
        <v>1</v>
      </c>
      <c r="C68" s="62"/>
      <c r="D68" s="62"/>
      <c r="E68" s="62"/>
      <c r="F68" s="62"/>
    </row>
    <row r="69" spans="1:6" x14ac:dyDescent="0.35">
      <c r="A69" s="67" t="s">
        <v>221</v>
      </c>
      <c r="B69" s="68">
        <v>1</v>
      </c>
      <c r="C69" s="62"/>
      <c r="D69" s="62"/>
      <c r="E69" s="62"/>
      <c r="F69" s="62"/>
    </row>
    <row r="70" spans="1:6" x14ac:dyDescent="0.35">
      <c r="A70" s="67" t="s">
        <v>222</v>
      </c>
      <c r="B70" s="68">
        <v>1</v>
      </c>
      <c r="C70" s="62"/>
      <c r="D70" s="62"/>
      <c r="E70" s="62"/>
      <c r="F70" s="62"/>
    </row>
    <row r="71" spans="1:6" x14ac:dyDescent="0.35">
      <c r="A71" s="67" t="s">
        <v>223</v>
      </c>
      <c r="B71" s="68">
        <v>1</v>
      </c>
      <c r="C71" s="62"/>
      <c r="D71" s="62"/>
      <c r="E71" s="62"/>
      <c r="F71" s="62"/>
    </row>
    <row r="72" spans="1:6" x14ac:dyDescent="0.35">
      <c r="A72" s="67" t="s">
        <v>224</v>
      </c>
      <c r="B72" s="68">
        <v>1</v>
      </c>
      <c r="C72" s="62"/>
      <c r="D72" s="62"/>
      <c r="E72" s="62"/>
      <c r="F72" s="62"/>
    </row>
    <row r="73" spans="1:6" x14ac:dyDescent="0.35">
      <c r="A73" s="67" t="s">
        <v>225</v>
      </c>
      <c r="B73" s="68">
        <v>1</v>
      </c>
      <c r="C73" s="62"/>
      <c r="D73" s="62"/>
      <c r="E73" s="62"/>
      <c r="F73" s="62"/>
    </row>
    <row r="74" spans="1:6" x14ac:dyDescent="0.35">
      <c r="A74" s="67" t="s">
        <v>226</v>
      </c>
      <c r="B74" s="68">
        <v>1</v>
      </c>
      <c r="C74" s="62"/>
      <c r="D74" s="62"/>
      <c r="E74" s="62"/>
      <c r="F74" s="62"/>
    </row>
    <row r="75" spans="1:6" x14ac:dyDescent="0.35">
      <c r="A75" s="67" t="s">
        <v>227</v>
      </c>
      <c r="B75" s="68">
        <v>1</v>
      </c>
      <c r="C75" s="62"/>
      <c r="D75" s="62"/>
      <c r="E75" s="62"/>
      <c r="F75" s="62"/>
    </row>
    <row r="76" spans="1:6" x14ac:dyDescent="0.35">
      <c r="A76" s="69" t="s">
        <v>228</v>
      </c>
      <c r="B76" s="68">
        <v>1</v>
      </c>
      <c r="C76" s="62"/>
      <c r="D76" s="62"/>
      <c r="E76" s="62"/>
      <c r="F76" s="62"/>
    </row>
    <row r="77" spans="1:6" x14ac:dyDescent="0.35">
      <c r="A77" s="67" t="s">
        <v>229</v>
      </c>
      <c r="B77" s="68">
        <v>1</v>
      </c>
      <c r="C77" s="62"/>
      <c r="D77" s="62"/>
      <c r="E77" s="62"/>
      <c r="F77" s="62"/>
    </row>
    <row r="78" spans="1:6" x14ac:dyDescent="0.35">
      <c r="A78" s="67" t="s">
        <v>230</v>
      </c>
      <c r="B78" s="68">
        <v>1</v>
      </c>
      <c r="C78" s="62"/>
      <c r="D78" s="62"/>
      <c r="E78" s="62"/>
      <c r="F78" s="62"/>
    </row>
    <row r="79" spans="1:6" x14ac:dyDescent="0.35">
      <c r="A79" s="67" t="s">
        <v>231</v>
      </c>
      <c r="B79" s="68">
        <v>1</v>
      </c>
      <c r="C79" s="62"/>
      <c r="D79" s="62"/>
      <c r="E79" s="62"/>
      <c r="F79" s="62"/>
    </row>
    <row r="80" spans="1:6" x14ac:dyDescent="0.35">
      <c r="A80" s="67" t="s">
        <v>232</v>
      </c>
      <c r="B80" s="68">
        <v>1</v>
      </c>
      <c r="C80" s="62"/>
      <c r="D80" s="62"/>
      <c r="E80" s="62"/>
      <c r="F80" s="62"/>
    </row>
    <row r="81" spans="1:6" x14ac:dyDescent="0.35">
      <c r="A81" s="67" t="s">
        <v>233</v>
      </c>
      <c r="B81" s="68">
        <v>1</v>
      </c>
      <c r="C81" s="62"/>
      <c r="D81" s="62"/>
      <c r="E81" s="62"/>
      <c r="F81" s="62"/>
    </row>
    <row r="82" spans="1:6" x14ac:dyDescent="0.35">
      <c r="A82" s="67" t="s">
        <v>234</v>
      </c>
      <c r="B82" s="68">
        <v>1</v>
      </c>
      <c r="C82" s="62"/>
      <c r="D82" s="62"/>
      <c r="E82" s="62"/>
      <c r="F82" s="62"/>
    </row>
    <row r="83" spans="1:6" x14ac:dyDescent="0.35">
      <c r="A83" s="67" t="s">
        <v>235</v>
      </c>
      <c r="B83" s="68">
        <v>1</v>
      </c>
      <c r="C83" s="62"/>
      <c r="D83" s="62"/>
      <c r="E83" s="62"/>
      <c r="F83" s="62"/>
    </row>
    <row r="84" spans="1:6" x14ac:dyDescent="0.35">
      <c r="A84" s="67" t="s">
        <v>236</v>
      </c>
      <c r="B84" s="68">
        <v>1</v>
      </c>
      <c r="C84" s="62"/>
      <c r="D84" s="62"/>
      <c r="E84" s="62"/>
      <c r="F84" s="62"/>
    </row>
    <row r="85" spans="1:6" x14ac:dyDescent="0.35">
      <c r="A85" s="67" t="s">
        <v>237</v>
      </c>
      <c r="B85" s="68">
        <v>1</v>
      </c>
      <c r="C85" s="62"/>
      <c r="D85" s="62"/>
      <c r="E85" s="62"/>
      <c r="F85" s="62"/>
    </row>
    <row r="86" spans="1:6" x14ac:dyDescent="0.35">
      <c r="A86" s="67" t="s">
        <v>238</v>
      </c>
      <c r="B86" s="68">
        <v>1</v>
      </c>
      <c r="C86" s="62"/>
      <c r="D86" s="62"/>
      <c r="E86" s="62"/>
      <c r="F86" s="62"/>
    </row>
    <row r="87" spans="1:6" x14ac:dyDescent="0.35">
      <c r="A87" s="67" t="s">
        <v>239</v>
      </c>
      <c r="B87" s="68">
        <v>1</v>
      </c>
      <c r="C87" s="62"/>
      <c r="D87" s="62"/>
      <c r="E87" s="62"/>
      <c r="F87" s="62"/>
    </row>
    <row r="88" spans="1:6" x14ac:dyDescent="0.35">
      <c r="A88" s="67" t="s">
        <v>240</v>
      </c>
      <c r="B88" s="68">
        <v>1</v>
      </c>
      <c r="C88" s="62"/>
      <c r="D88" s="62"/>
      <c r="E88" s="62"/>
      <c r="F88" s="62"/>
    </row>
    <row r="89" spans="1:6" x14ac:dyDescent="0.35">
      <c r="A89" s="67" t="s">
        <v>241</v>
      </c>
      <c r="B89" s="68">
        <v>1</v>
      </c>
      <c r="C89" s="62"/>
      <c r="D89" s="62"/>
      <c r="E89" s="62"/>
      <c r="F89" s="62"/>
    </row>
    <row r="90" spans="1:6" x14ac:dyDescent="0.35">
      <c r="A90" s="67" t="s">
        <v>242</v>
      </c>
      <c r="B90" s="68">
        <v>1</v>
      </c>
      <c r="C90" s="62"/>
      <c r="D90" s="62"/>
      <c r="E90" s="62"/>
      <c r="F90" s="62"/>
    </row>
    <row r="91" spans="1:6" x14ac:dyDescent="0.35">
      <c r="A91" s="67" t="s">
        <v>243</v>
      </c>
      <c r="B91" s="68">
        <v>1</v>
      </c>
      <c r="C91" s="62"/>
      <c r="D91" s="62"/>
      <c r="E91" s="62"/>
      <c r="F91" s="62"/>
    </row>
    <row r="92" spans="1:6" x14ac:dyDescent="0.35">
      <c r="A92" s="67" t="s">
        <v>244</v>
      </c>
      <c r="B92" s="68">
        <v>1</v>
      </c>
      <c r="C92" s="62"/>
      <c r="D92" s="62"/>
      <c r="E92" s="62"/>
      <c r="F92" s="62"/>
    </row>
    <row r="93" spans="1:6" x14ac:dyDescent="0.35">
      <c r="A93" s="67" t="s">
        <v>245</v>
      </c>
      <c r="B93" s="68">
        <v>1</v>
      </c>
      <c r="C93" s="62"/>
      <c r="D93" s="62"/>
      <c r="E93" s="62"/>
      <c r="F93" s="62"/>
    </row>
    <row r="94" spans="1:6" x14ac:dyDescent="0.35">
      <c r="A94" s="67" t="s">
        <v>246</v>
      </c>
      <c r="B94" s="68">
        <v>1</v>
      </c>
      <c r="C94" s="62"/>
      <c r="D94" s="62"/>
      <c r="E94" s="62"/>
      <c r="F94" s="62"/>
    </row>
    <row r="95" spans="1:6" x14ac:dyDescent="0.35">
      <c r="A95" s="67" t="s">
        <v>247</v>
      </c>
      <c r="B95" s="68">
        <v>1</v>
      </c>
      <c r="C95" s="62"/>
      <c r="D95" s="62"/>
      <c r="E95" s="62"/>
      <c r="F95" s="62"/>
    </row>
    <row r="96" spans="1:6" x14ac:dyDescent="0.35">
      <c r="A96" s="67" t="s">
        <v>248</v>
      </c>
      <c r="B96" s="72">
        <v>1</v>
      </c>
      <c r="C96" s="62"/>
      <c r="D96" s="62"/>
      <c r="E96" s="62"/>
      <c r="F96" s="62"/>
    </row>
    <row r="97" spans="1:6" x14ac:dyDescent="0.35">
      <c r="A97" s="73" t="s">
        <v>154</v>
      </c>
      <c r="B97" s="74">
        <f>SUM(B5:B96)</f>
        <v>92</v>
      </c>
      <c r="C97" s="62"/>
      <c r="D97" s="62"/>
      <c r="E97" s="62"/>
      <c r="F97" s="62"/>
    </row>
    <row r="98" spans="1:6" x14ac:dyDescent="0.35">
      <c r="A98" s="73"/>
      <c r="B98" s="74"/>
      <c r="C98" s="62"/>
      <c r="D98" s="62"/>
      <c r="E98" s="62"/>
      <c r="F98" s="62"/>
    </row>
    <row r="99" spans="1:6" x14ac:dyDescent="0.35">
      <c r="A99" s="75" t="s">
        <v>249</v>
      </c>
      <c r="B99" s="68"/>
      <c r="C99" s="62"/>
      <c r="D99" s="62"/>
      <c r="E99" s="62"/>
      <c r="F99" s="62"/>
    </row>
    <row r="100" spans="1:6" x14ac:dyDescent="0.35">
      <c r="A100" s="62" t="s">
        <v>250</v>
      </c>
      <c r="B100" s="68">
        <v>1</v>
      </c>
      <c r="C100" s="62"/>
      <c r="D100" s="62"/>
      <c r="E100" s="62"/>
      <c r="F100" s="62"/>
    </row>
    <row r="101" spans="1:6" x14ac:dyDescent="0.35">
      <c r="A101" s="62" t="s">
        <v>251</v>
      </c>
      <c r="B101" s="68">
        <v>1</v>
      </c>
      <c r="C101" s="62"/>
      <c r="D101" s="62"/>
      <c r="E101" s="62"/>
      <c r="F101" s="62"/>
    </row>
    <row r="102" spans="1:6" x14ac:dyDescent="0.35">
      <c r="A102" s="62" t="s">
        <v>252</v>
      </c>
      <c r="B102" s="68">
        <v>1</v>
      </c>
      <c r="C102" s="62"/>
      <c r="D102" s="62"/>
      <c r="E102" s="62"/>
      <c r="F102" s="62"/>
    </row>
    <row r="103" spans="1:6" x14ac:dyDescent="0.35">
      <c r="A103" s="62" t="s">
        <v>253</v>
      </c>
      <c r="B103" s="68">
        <v>1</v>
      </c>
      <c r="C103" s="62"/>
      <c r="D103" s="62"/>
      <c r="E103" s="62"/>
      <c r="F103" s="62"/>
    </row>
    <row r="104" spans="1:6" x14ac:dyDescent="0.35">
      <c r="A104" s="73" t="s">
        <v>249</v>
      </c>
      <c r="B104" s="74">
        <f>SUM(B100:B103)</f>
        <v>4</v>
      </c>
      <c r="C104" s="62"/>
      <c r="D104" s="62"/>
      <c r="E104" s="62"/>
      <c r="F104" s="62"/>
    </row>
    <row r="105" spans="1:6" x14ac:dyDescent="0.35">
      <c r="A105" s="67"/>
      <c r="B105" s="68"/>
      <c r="C105" s="62"/>
      <c r="D105" s="62"/>
      <c r="E105" s="62"/>
      <c r="F105" s="62"/>
    </row>
    <row r="106" spans="1:6" x14ac:dyDescent="0.35">
      <c r="A106" s="75" t="s">
        <v>254</v>
      </c>
      <c r="B106" s="68"/>
      <c r="C106" s="62"/>
      <c r="D106" s="62"/>
      <c r="E106" s="62"/>
      <c r="F106" s="62"/>
    </row>
    <row r="107" spans="1:6" x14ac:dyDescent="0.35">
      <c r="A107" s="62" t="s">
        <v>255</v>
      </c>
      <c r="B107" s="68">
        <v>1</v>
      </c>
      <c r="C107" s="62"/>
      <c r="D107" s="62"/>
      <c r="E107" s="62"/>
      <c r="F107" s="62"/>
    </row>
    <row r="108" spans="1:6" x14ac:dyDescent="0.35">
      <c r="A108" s="62" t="s">
        <v>256</v>
      </c>
      <c r="B108" s="68">
        <v>1</v>
      </c>
      <c r="C108" s="62"/>
      <c r="D108" s="62"/>
      <c r="E108" s="62"/>
      <c r="F108" s="62"/>
    </row>
    <row r="109" spans="1:6" x14ac:dyDescent="0.35">
      <c r="A109" s="62" t="s">
        <v>257</v>
      </c>
      <c r="B109" s="68">
        <v>1</v>
      </c>
      <c r="C109" s="62"/>
      <c r="D109" s="62"/>
      <c r="E109" s="62"/>
      <c r="F109" s="62"/>
    </row>
    <row r="110" spans="1:6" x14ac:dyDescent="0.35">
      <c r="A110" s="62" t="s">
        <v>258</v>
      </c>
      <c r="B110" s="68">
        <v>1</v>
      </c>
      <c r="C110" s="62"/>
      <c r="D110" s="62"/>
      <c r="E110" s="62"/>
      <c r="F110" s="62"/>
    </row>
    <row r="111" spans="1:6" x14ac:dyDescent="0.35">
      <c r="A111" s="62" t="s">
        <v>259</v>
      </c>
      <c r="B111" s="68">
        <v>1</v>
      </c>
      <c r="C111" s="62"/>
      <c r="D111" s="62"/>
      <c r="E111" s="62"/>
      <c r="F111" s="62"/>
    </row>
    <row r="112" spans="1:6" x14ac:dyDescent="0.35">
      <c r="A112" s="62" t="s">
        <v>260</v>
      </c>
      <c r="B112" s="68">
        <v>1</v>
      </c>
      <c r="C112" s="62"/>
      <c r="D112" s="62"/>
      <c r="E112" s="62"/>
      <c r="F112" s="62"/>
    </row>
    <row r="113" spans="1:6" x14ac:dyDescent="0.35">
      <c r="A113" s="62" t="s">
        <v>261</v>
      </c>
      <c r="B113" s="68">
        <v>1</v>
      </c>
      <c r="C113" s="62"/>
      <c r="D113" s="62"/>
      <c r="E113" s="62"/>
      <c r="F113" s="62"/>
    </row>
    <row r="114" spans="1:6" x14ac:dyDescent="0.35">
      <c r="A114" s="62" t="s">
        <v>262</v>
      </c>
      <c r="B114" s="68">
        <v>1</v>
      </c>
      <c r="C114" s="62"/>
      <c r="D114" s="62"/>
      <c r="E114" s="62"/>
      <c r="F114" s="62"/>
    </row>
    <row r="115" spans="1:6" x14ac:dyDescent="0.35">
      <c r="A115" s="62" t="s">
        <v>263</v>
      </c>
      <c r="B115" s="68">
        <v>1</v>
      </c>
      <c r="C115" s="62"/>
      <c r="D115" s="62"/>
      <c r="E115" s="62"/>
      <c r="F115" s="62"/>
    </row>
    <row r="116" spans="1:6" x14ac:dyDescent="0.35">
      <c r="A116" s="62" t="s">
        <v>264</v>
      </c>
      <c r="B116" s="68">
        <v>1</v>
      </c>
      <c r="C116" s="62"/>
      <c r="D116" s="62"/>
      <c r="E116" s="62"/>
      <c r="F116" s="62"/>
    </row>
    <row r="117" spans="1:6" x14ac:dyDescent="0.35">
      <c r="A117" s="62" t="s">
        <v>265</v>
      </c>
      <c r="B117" s="68">
        <v>1</v>
      </c>
      <c r="C117" s="62"/>
      <c r="D117" s="62"/>
      <c r="E117" s="62"/>
      <c r="F117" s="62"/>
    </row>
    <row r="118" spans="1:6" x14ac:dyDescent="0.35">
      <c r="A118" s="62" t="s">
        <v>266</v>
      </c>
      <c r="B118" s="68">
        <v>1</v>
      </c>
      <c r="C118" s="62"/>
      <c r="D118" s="62"/>
      <c r="E118" s="62"/>
      <c r="F118" s="62"/>
    </row>
    <row r="119" spans="1:6" x14ac:dyDescent="0.35">
      <c r="A119" s="62" t="s">
        <v>267</v>
      </c>
      <c r="B119" s="68">
        <v>1</v>
      </c>
      <c r="C119" s="62"/>
      <c r="D119" s="62"/>
      <c r="E119" s="62"/>
      <c r="F119" s="62"/>
    </row>
    <row r="120" spans="1:6" x14ac:dyDescent="0.35">
      <c r="A120" s="62" t="s">
        <v>268</v>
      </c>
      <c r="B120" s="68">
        <v>1</v>
      </c>
      <c r="C120" s="62"/>
      <c r="D120" s="62"/>
      <c r="E120" s="62"/>
      <c r="F120" s="62"/>
    </row>
    <row r="121" spans="1:6" x14ac:dyDescent="0.35">
      <c r="A121" s="62" t="s">
        <v>269</v>
      </c>
      <c r="B121" s="68">
        <v>1</v>
      </c>
      <c r="C121" s="62"/>
      <c r="D121" s="62"/>
      <c r="E121" s="62"/>
      <c r="F121" s="62"/>
    </row>
    <row r="122" spans="1:6" x14ac:dyDescent="0.35">
      <c r="A122" s="62" t="s">
        <v>270</v>
      </c>
      <c r="B122" s="68">
        <v>1</v>
      </c>
      <c r="C122" s="62"/>
      <c r="D122" s="62"/>
      <c r="E122" s="62"/>
      <c r="F122" s="62"/>
    </row>
    <row r="123" spans="1:6" x14ac:dyDescent="0.35">
      <c r="A123" s="62" t="s">
        <v>271</v>
      </c>
      <c r="B123" s="68">
        <v>1</v>
      </c>
      <c r="C123" s="62"/>
      <c r="D123" s="62"/>
      <c r="E123" s="62"/>
      <c r="F123" s="62"/>
    </row>
    <row r="124" spans="1:6" x14ac:dyDescent="0.35">
      <c r="A124" s="62" t="s">
        <v>272</v>
      </c>
      <c r="B124" s="68">
        <v>1</v>
      </c>
      <c r="C124" s="62"/>
      <c r="D124" s="62"/>
      <c r="E124" s="62"/>
      <c r="F124" s="62"/>
    </row>
    <row r="125" spans="1:6" x14ac:dyDescent="0.35">
      <c r="A125" s="62" t="s">
        <v>273</v>
      </c>
      <c r="B125" s="68">
        <v>1</v>
      </c>
      <c r="C125" s="62"/>
      <c r="D125" s="62"/>
      <c r="E125" s="62"/>
      <c r="F125" s="62"/>
    </row>
    <row r="126" spans="1:6" x14ac:dyDescent="0.35">
      <c r="A126" s="62" t="s">
        <v>209</v>
      </c>
      <c r="B126" s="68">
        <v>1</v>
      </c>
      <c r="C126" s="62"/>
      <c r="D126" s="62"/>
      <c r="E126" s="62"/>
      <c r="F126" s="62"/>
    </row>
    <row r="127" spans="1:6" x14ac:dyDescent="0.35">
      <c r="A127" s="62" t="s">
        <v>274</v>
      </c>
      <c r="B127" s="68">
        <v>1</v>
      </c>
      <c r="C127" s="62"/>
      <c r="D127" s="62"/>
      <c r="E127" s="62"/>
      <c r="F127" s="62"/>
    </row>
    <row r="128" spans="1:6" x14ac:dyDescent="0.35">
      <c r="A128" s="62" t="s">
        <v>275</v>
      </c>
      <c r="B128" s="68">
        <v>1</v>
      </c>
      <c r="C128" s="62"/>
      <c r="D128" s="62"/>
      <c r="E128" s="62"/>
      <c r="F128" s="62"/>
    </row>
    <row r="129" spans="1:6" x14ac:dyDescent="0.35">
      <c r="A129" s="62" t="s">
        <v>276</v>
      </c>
      <c r="B129" s="68">
        <v>1</v>
      </c>
      <c r="C129" s="62"/>
      <c r="D129" s="62"/>
      <c r="E129" s="62"/>
      <c r="F129" s="62"/>
    </row>
    <row r="130" spans="1:6" x14ac:dyDescent="0.35">
      <c r="A130" s="62" t="s">
        <v>277</v>
      </c>
      <c r="B130" s="68">
        <v>1</v>
      </c>
      <c r="C130" s="62"/>
      <c r="D130" s="62"/>
      <c r="E130" s="62"/>
      <c r="F130" s="62"/>
    </row>
    <row r="131" spans="1:6" x14ac:dyDescent="0.35">
      <c r="A131" s="62" t="s">
        <v>278</v>
      </c>
      <c r="B131" s="68">
        <v>1</v>
      </c>
      <c r="C131" s="62"/>
      <c r="D131" s="62"/>
      <c r="E131" s="62"/>
      <c r="F131" s="62"/>
    </row>
    <row r="132" spans="1:6" x14ac:dyDescent="0.35">
      <c r="A132" s="62" t="s">
        <v>279</v>
      </c>
      <c r="B132" s="68">
        <v>1</v>
      </c>
      <c r="C132" s="62"/>
      <c r="D132" s="62"/>
      <c r="E132" s="62"/>
      <c r="F132" s="62"/>
    </row>
    <row r="133" spans="1:6" x14ac:dyDescent="0.35">
      <c r="A133" s="62" t="s">
        <v>280</v>
      </c>
      <c r="B133" s="68">
        <v>1</v>
      </c>
      <c r="C133" s="62"/>
      <c r="D133" s="62"/>
      <c r="E133" s="62"/>
      <c r="F133" s="62"/>
    </row>
    <row r="134" spans="1:6" x14ac:dyDescent="0.35">
      <c r="A134" s="62" t="s">
        <v>281</v>
      </c>
      <c r="B134" s="68">
        <v>1</v>
      </c>
      <c r="C134" s="62"/>
      <c r="D134" s="62"/>
      <c r="E134" s="62"/>
      <c r="F134" s="62"/>
    </row>
    <row r="135" spans="1:6" x14ac:dyDescent="0.35">
      <c r="A135" s="62" t="s">
        <v>282</v>
      </c>
      <c r="B135" s="68">
        <v>1</v>
      </c>
      <c r="C135" s="62"/>
      <c r="D135" s="62"/>
      <c r="E135" s="62"/>
      <c r="F135" s="62"/>
    </row>
    <row r="136" spans="1:6" x14ac:dyDescent="0.35">
      <c r="A136" s="62" t="s">
        <v>283</v>
      </c>
      <c r="B136" s="68">
        <v>1</v>
      </c>
      <c r="C136" s="62"/>
      <c r="D136" s="62"/>
      <c r="E136" s="62"/>
      <c r="F136" s="62"/>
    </row>
    <row r="137" spans="1:6" x14ac:dyDescent="0.35">
      <c r="A137" s="62" t="s">
        <v>284</v>
      </c>
      <c r="B137" s="68">
        <v>1</v>
      </c>
      <c r="C137" s="62"/>
      <c r="D137" s="62"/>
      <c r="E137" s="62"/>
      <c r="F137" s="62"/>
    </row>
    <row r="138" spans="1:6" x14ac:dyDescent="0.35">
      <c r="A138" s="62" t="s">
        <v>285</v>
      </c>
      <c r="B138" s="68">
        <v>1</v>
      </c>
      <c r="C138" s="62"/>
      <c r="D138" s="62"/>
      <c r="E138" s="62"/>
      <c r="F138" s="62"/>
    </row>
    <row r="139" spans="1:6" x14ac:dyDescent="0.35">
      <c r="A139" s="62" t="s">
        <v>286</v>
      </c>
      <c r="B139" s="68">
        <v>1</v>
      </c>
      <c r="C139" s="62"/>
      <c r="D139" s="62"/>
      <c r="E139" s="62"/>
      <c r="F139" s="62"/>
    </row>
    <row r="140" spans="1:6" x14ac:dyDescent="0.35">
      <c r="A140" s="62" t="s">
        <v>287</v>
      </c>
      <c r="B140" s="68">
        <v>1</v>
      </c>
      <c r="C140" s="62"/>
      <c r="D140" s="62"/>
      <c r="E140" s="62"/>
      <c r="F140" s="62"/>
    </row>
    <row r="141" spans="1:6" x14ac:dyDescent="0.35">
      <c r="A141" s="62" t="s">
        <v>288</v>
      </c>
      <c r="B141" s="68">
        <v>1</v>
      </c>
      <c r="C141" s="62"/>
      <c r="D141" s="62"/>
      <c r="E141" s="62"/>
      <c r="F141" s="62"/>
    </row>
    <row r="142" spans="1:6" x14ac:dyDescent="0.35">
      <c r="A142" s="62" t="s">
        <v>289</v>
      </c>
      <c r="B142" s="68">
        <v>1</v>
      </c>
      <c r="C142" s="62"/>
      <c r="D142" s="62"/>
      <c r="E142" s="62"/>
      <c r="F142" s="62"/>
    </row>
    <row r="143" spans="1:6" x14ac:dyDescent="0.35">
      <c r="A143" s="62" t="s">
        <v>290</v>
      </c>
      <c r="B143" s="68">
        <v>1</v>
      </c>
      <c r="C143" s="62"/>
      <c r="D143" s="62"/>
      <c r="E143" s="62"/>
      <c r="F143" s="62"/>
    </row>
    <row r="144" spans="1:6" x14ac:dyDescent="0.35">
      <c r="A144" s="62" t="s">
        <v>291</v>
      </c>
      <c r="B144" s="68">
        <v>1</v>
      </c>
      <c r="C144" s="62"/>
      <c r="D144" s="62"/>
      <c r="E144" s="62"/>
      <c r="F144" s="62"/>
    </row>
    <row r="145" spans="1:6" x14ac:dyDescent="0.35">
      <c r="A145" s="62" t="s">
        <v>292</v>
      </c>
      <c r="B145" s="68">
        <v>1</v>
      </c>
      <c r="C145" s="62"/>
      <c r="D145" s="62"/>
      <c r="E145" s="62"/>
      <c r="F145" s="62"/>
    </row>
    <row r="146" spans="1:6" x14ac:dyDescent="0.35">
      <c r="A146" s="62" t="s">
        <v>293</v>
      </c>
      <c r="B146" s="68">
        <v>1</v>
      </c>
      <c r="C146" s="62"/>
      <c r="D146" s="62"/>
      <c r="E146" s="62"/>
      <c r="F146" s="62"/>
    </row>
    <row r="147" spans="1:6" x14ac:dyDescent="0.35">
      <c r="A147" s="62" t="s">
        <v>294</v>
      </c>
      <c r="B147" s="68">
        <v>1</v>
      </c>
      <c r="C147" s="62"/>
      <c r="D147" s="62"/>
      <c r="E147" s="62"/>
      <c r="F147" s="62"/>
    </row>
    <row r="148" spans="1:6" x14ac:dyDescent="0.35">
      <c r="A148" s="73" t="s">
        <v>254</v>
      </c>
      <c r="B148" s="74">
        <f>SUM(B107:B147)</f>
        <v>41</v>
      </c>
      <c r="C148" s="62"/>
      <c r="D148" s="62"/>
      <c r="E148" s="62"/>
      <c r="F148" s="62"/>
    </row>
    <row r="149" spans="1:6" x14ac:dyDescent="0.35">
      <c r="A149" s="60"/>
      <c r="B149" s="74"/>
      <c r="C149" s="62"/>
      <c r="D149" s="62"/>
      <c r="E149" s="62"/>
      <c r="F149" s="62"/>
    </row>
    <row r="150" spans="1:6" x14ac:dyDescent="0.35">
      <c r="A150" s="73" t="s">
        <v>295</v>
      </c>
      <c r="B150" s="74"/>
      <c r="C150" s="62"/>
      <c r="D150" s="62"/>
      <c r="E150" s="62"/>
      <c r="F150" s="62"/>
    </row>
    <row r="151" spans="1:6" x14ac:dyDescent="0.35">
      <c r="A151" s="62" t="s">
        <v>296</v>
      </c>
      <c r="B151" s="68">
        <v>1</v>
      </c>
      <c r="C151" s="62"/>
      <c r="D151" s="62"/>
      <c r="E151" s="62"/>
      <c r="F151" s="62"/>
    </row>
    <row r="152" spans="1:6" x14ac:dyDescent="0.35">
      <c r="A152" s="73" t="s">
        <v>295</v>
      </c>
      <c r="B152" s="74">
        <f>SUM(B151:B151)</f>
        <v>1</v>
      </c>
      <c r="C152" s="62"/>
      <c r="D152" s="62"/>
      <c r="E152" s="62"/>
      <c r="F152" s="62"/>
    </row>
    <row r="153" spans="1:6" x14ac:dyDescent="0.35">
      <c r="A153" s="62"/>
      <c r="B153" s="74"/>
      <c r="C153" s="62"/>
      <c r="D153" s="62"/>
      <c r="E153" s="62"/>
      <c r="F153" s="62"/>
    </row>
    <row r="154" spans="1:6" x14ac:dyDescent="0.35">
      <c r="A154" s="73" t="s">
        <v>297</v>
      </c>
      <c r="B154" s="74"/>
      <c r="C154" s="62"/>
      <c r="D154" s="62"/>
      <c r="E154" s="62"/>
      <c r="F154" s="62"/>
    </row>
    <row r="155" spans="1:6" x14ac:dyDescent="0.35">
      <c r="A155" s="62" t="s">
        <v>298</v>
      </c>
      <c r="B155" s="68">
        <v>1</v>
      </c>
      <c r="C155" s="62"/>
      <c r="D155" s="62"/>
      <c r="E155" s="62"/>
      <c r="F155" s="62"/>
    </row>
    <row r="156" spans="1:6" x14ac:dyDescent="0.35">
      <c r="A156" s="62" t="s">
        <v>299</v>
      </c>
      <c r="B156" s="68">
        <v>1</v>
      </c>
      <c r="C156" s="62"/>
      <c r="D156" s="62"/>
      <c r="E156" s="62"/>
      <c r="F156" s="62"/>
    </row>
    <row r="157" spans="1:6" x14ac:dyDescent="0.35">
      <c r="A157" s="62" t="s">
        <v>300</v>
      </c>
      <c r="B157" s="68">
        <v>1</v>
      </c>
      <c r="C157" s="62"/>
      <c r="D157" s="62"/>
      <c r="E157" s="62"/>
      <c r="F157" s="62"/>
    </row>
    <row r="158" spans="1:6" x14ac:dyDescent="0.35">
      <c r="A158" s="62" t="s">
        <v>301</v>
      </c>
      <c r="B158" s="68">
        <v>1</v>
      </c>
      <c r="C158" s="62"/>
      <c r="D158" s="62"/>
      <c r="E158" s="62"/>
      <c r="F158" s="62"/>
    </row>
    <row r="159" spans="1:6" x14ac:dyDescent="0.35">
      <c r="A159" s="62" t="s">
        <v>302</v>
      </c>
      <c r="B159" s="68">
        <v>1</v>
      </c>
      <c r="C159" s="62"/>
      <c r="D159" s="62"/>
      <c r="E159" s="62"/>
      <c r="F159" s="62"/>
    </row>
    <row r="160" spans="1:6" x14ac:dyDescent="0.35">
      <c r="A160" s="73" t="s">
        <v>297</v>
      </c>
      <c r="B160" s="74">
        <f>SUM(B155:B159)</f>
        <v>5</v>
      </c>
      <c r="C160" s="62"/>
      <c r="D160" s="62"/>
      <c r="E160" s="62"/>
      <c r="F160" s="62"/>
    </row>
    <row r="161" spans="1:6" x14ac:dyDescent="0.35">
      <c r="A161" s="73"/>
      <c r="B161" s="74"/>
      <c r="C161" s="62"/>
      <c r="D161" s="62"/>
      <c r="E161" s="62"/>
      <c r="F161" s="62"/>
    </row>
    <row r="162" spans="1:6" x14ac:dyDescent="0.35">
      <c r="A162" s="73" t="s">
        <v>303</v>
      </c>
      <c r="B162" s="74"/>
      <c r="C162" s="62"/>
      <c r="D162" s="62"/>
      <c r="E162" s="62"/>
      <c r="F162" s="62"/>
    </row>
    <row r="163" spans="1:6" x14ac:dyDescent="0.35">
      <c r="A163" s="62" t="s">
        <v>304</v>
      </c>
      <c r="B163" s="68">
        <v>1</v>
      </c>
      <c r="C163" s="62"/>
      <c r="D163" s="62"/>
      <c r="E163" s="62"/>
      <c r="F163" s="62"/>
    </row>
    <row r="164" spans="1:6" x14ac:dyDescent="0.35">
      <c r="A164" s="62" t="s">
        <v>305</v>
      </c>
      <c r="B164" s="68">
        <v>1</v>
      </c>
      <c r="C164" s="62"/>
      <c r="D164" s="62"/>
      <c r="E164" s="62"/>
      <c r="F164" s="62"/>
    </row>
    <row r="165" spans="1:6" x14ac:dyDescent="0.35">
      <c r="A165" s="62" t="s">
        <v>306</v>
      </c>
      <c r="B165" s="68">
        <v>1</v>
      </c>
      <c r="C165" s="62"/>
      <c r="D165" s="62"/>
      <c r="E165" s="62"/>
      <c r="F165" s="62"/>
    </row>
    <row r="166" spans="1:6" x14ac:dyDescent="0.35">
      <c r="A166" s="73" t="s">
        <v>303</v>
      </c>
      <c r="B166" s="74">
        <f>SUM(B163:B165)</f>
        <v>3</v>
      </c>
      <c r="C166" s="62"/>
      <c r="D166" s="62"/>
      <c r="E166" s="62"/>
      <c r="F166" s="62"/>
    </row>
    <row r="167" spans="1:6" x14ac:dyDescent="0.35">
      <c r="A167" s="60"/>
      <c r="B167" s="74"/>
      <c r="C167" s="62"/>
      <c r="D167" s="62"/>
      <c r="E167" s="62"/>
      <c r="F167" s="62"/>
    </row>
    <row r="168" spans="1:6" x14ac:dyDescent="0.35">
      <c r="A168" s="73" t="s">
        <v>307</v>
      </c>
      <c r="B168" s="74">
        <v>1</v>
      </c>
      <c r="C168" s="62"/>
      <c r="D168" s="62"/>
      <c r="E168" s="62"/>
      <c r="F168" s="62"/>
    </row>
    <row r="169" spans="1:6" x14ac:dyDescent="0.35">
      <c r="A169" s="60"/>
      <c r="B169" s="74"/>
      <c r="C169" s="62"/>
      <c r="D169" s="62"/>
      <c r="E169" s="62"/>
      <c r="F169" s="62"/>
    </row>
    <row r="170" spans="1:6" x14ac:dyDescent="0.35">
      <c r="A170" s="73" t="s">
        <v>308</v>
      </c>
      <c r="B170" s="68"/>
      <c r="C170" s="62"/>
      <c r="D170" s="62"/>
      <c r="E170" s="62"/>
      <c r="F170" s="62"/>
    </row>
    <row r="171" spans="1:6" x14ac:dyDescent="0.35">
      <c r="A171" s="62" t="s">
        <v>309</v>
      </c>
      <c r="B171" s="68">
        <v>1</v>
      </c>
      <c r="C171" s="62"/>
      <c r="D171" s="62"/>
      <c r="E171" s="62"/>
      <c r="F171" s="62"/>
    </row>
    <row r="172" spans="1:6" x14ac:dyDescent="0.35">
      <c r="A172" s="62" t="s">
        <v>310</v>
      </c>
      <c r="B172" s="68">
        <v>1</v>
      </c>
      <c r="C172" s="62"/>
      <c r="D172" s="62"/>
      <c r="E172" s="62"/>
      <c r="F172" s="62"/>
    </row>
    <row r="173" spans="1:6" x14ac:dyDescent="0.35">
      <c r="A173" s="62" t="s">
        <v>311</v>
      </c>
      <c r="B173" s="68">
        <v>1</v>
      </c>
      <c r="C173" s="62"/>
      <c r="D173" s="62"/>
      <c r="E173" s="62"/>
      <c r="F173" s="62"/>
    </row>
    <row r="174" spans="1:6" x14ac:dyDescent="0.35">
      <c r="A174" s="62" t="s">
        <v>312</v>
      </c>
      <c r="B174" s="68">
        <v>1</v>
      </c>
      <c r="C174" s="62"/>
      <c r="D174" s="62"/>
      <c r="E174" s="62"/>
      <c r="F174" s="62"/>
    </row>
    <row r="175" spans="1:6" x14ac:dyDescent="0.35">
      <c r="A175" s="62" t="s">
        <v>313</v>
      </c>
      <c r="B175" s="68">
        <v>1</v>
      </c>
      <c r="C175" s="62"/>
      <c r="D175" s="62"/>
      <c r="E175" s="62"/>
      <c r="F175" s="62"/>
    </row>
    <row r="176" spans="1:6" x14ac:dyDescent="0.35">
      <c r="A176" s="62" t="s">
        <v>314</v>
      </c>
      <c r="B176" s="68">
        <v>1</v>
      </c>
      <c r="C176" s="62"/>
      <c r="D176" s="62"/>
      <c r="E176" s="62"/>
      <c r="F176" s="62"/>
    </row>
    <row r="177" spans="1:6" x14ac:dyDescent="0.35">
      <c r="A177" s="62" t="s">
        <v>315</v>
      </c>
      <c r="B177" s="68">
        <v>1</v>
      </c>
      <c r="C177" s="62"/>
      <c r="D177" s="62"/>
      <c r="E177" s="62"/>
      <c r="F177" s="62"/>
    </row>
    <row r="178" spans="1:6" x14ac:dyDescent="0.35">
      <c r="A178" s="62" t="s">
        <v>316</v>
      </c>
      <c r="B178" s="68">
        <v>1</v>
      </c>
      <c r="C178" s="62"/>
      <c r="D178" s="62"/>
      <c r="E178" s="62"/>
      <c r="F178" s="62"/>
    </row>
    <row r="179" spans="1:6" x14ac:dyDescent="0.35">
      <c r="A179" s="62" t="s">
        <v>317</v>
      </c>
      <c r="B179" s="68">
        <v>1</v>
      </c>
      <c r="C179" s="62"/>
      <c r="D179" s="62"/>
      <c r="E179" s="62"/>
      <c r="F179" s="62"/>
    </row>
    <row r="180" spans="1:6" x14ac:dyDescent="0.35">
      <c r="A180" s="62" t="s">
        <v>318</v>
      </c>
      <c r="B180" s="68">
        <v>1</v>
      </c>
      <c r="C180" s="62"/>
      <c r="D180" s="62"/>
      <c r="E180" s="62"/>
      <c r="F180" s="62"/>
    </row>
    <row r="181" spans="1:6" x14ac:dyDescent="0.35">
      <c r="A181" s="62" t="s">
        <v>319</v>
      </c>
      <c r="B181" s="68">
        <v>1</v>
      </c>
      <c r="C181" s="62"/>
      <c r="D181" s="62"/>
      <c r="E181" s="62"/>
      <c r="F181" s="62"/>
    </row>
    <row r="182" spans="1:6" x14ac:dyDescent="0.35">
      <c r="A182" s="62" t="s">
        <v>320</v>
      </c>
      <c r="B182" s="68">
        <v>1</v>
      </c>
      <c r="C182" s="62"/>
      <c r="D182" s="62"/>
      <c r="E182" s="62"/>
      <c r="F182" s="62"/>
    </row>
    <row r="183" spans="1:6" x14ac:dyDescent="0.35">
      <c r="A183" s="62" t="s">
        <v>321</v>
      </c>
      <c r="B183" s="68">
        <v>1</v>
      </c>
      <c r="C183" s="62"/>
      <c r="D183" s="62"/>
      <c r="E183" s="62"/>
      <c r="F183" s="62"/>
    </row>
    <row r="184" spans="1:6" x14ac:dyDescent="0.35">
      <c r="A184" s="62" t="s">
        <v>322</v>
      </c>
      <c r="B184" s="68">
        <v>1</v>
      </c>
      <c r="C184" s="62"/>
      <c r="D184" s="62"/>
      <c r="E184" s="62"/>
      <c r="F184" s="62"/>
    </row>
    <row r="185" spans="1:6" x14ac:dyDescent="0.35">
      <c r="A185" s="62" t="s">
        <v>323</v>
      </c>
      <c r="B185" s="68">
        <v>1</v>
      </c>
      <c r="C185" s="62"/>
      <c r="D185" s="62"/>
      <c r="E185" s="62"/>
      <c r="F185" s="62"/>
    </row>
    <row r="186" spans="1:6" x14ac:dyDescent="0.35">
      <c r="A186" s="62" t="s">
        <v>324</v>
      </c>
      <c r="B186" s="68">
        <v>1</v>
      </c>
      <c r="C186" s="62"/>
      <c r="D186" s="62"/>
      <c r="E186" s="62"/>
      <c r="F186" s="62"/>
    </row>
    <row r="187" spans="1:6" x14ac:dyDescent="0.35">
      <c r="A187" s="62" t="s">
        <v>325</v>
      </c>
      <c r="B187" s="68">
        <v>1</v>
      </c>
      <c r="C187" s="62"/>
      <c r="D187" s="62"/>
      <c r="E187" s="62"/>
      <c r="F187" s="62"/>
    </row>
    <row r="188" spans="1:6" x14ac:dyDescent="0.35">
      <c r="A188" s="62" t="s">
        <v>326</v>
      </c>
      <c r="B188" s="68">
        <v>1</v>
      </c>
      <c r="C188" s="62"/>
      <c r="D188" s="62"/>
      <c r="E188" s="62"/>
      <c r="F188" s="62"/>
    </row>
    <row r="189" spans="1:6" x14ac:dyDescent="0.35">
      <c r="A189" s="62" t="s">
        <v>327</v>
      </c>
      <c r="B189" s="68">
        <v>1</v>
      </c>
      <c r="C189" s="62"/>
      <c r="D189" s="62"/>
      <c r="E189" s="62"/>
      <c r="F189" s="62"/>
    </row>
    <row r="190" spans="1:6" x14ac:dyDescent="0.35">
      <c r="A190" s="62" t="s">
        <v>328</v>
      </c>
      <c r="B190" s="68">
        <v>1</v>
      </c>
      <c r="C190" s="62"/>
      <c r="D190" s="62"/>
      <c r="E190" s="62"/>
      <c r="F190" s="62"/>
    </row>
    <row r="191" spans="1:6" x14ac:dyDescent="0.35">
      <c r="A191" s="62" t="s">
        <v>329</v>
      </c>
      <c r="B191" s="68">
        <v>1</v>
      </c>
      <c r="C191" s="62"/>
      <c r="D191" s="62"/>
      <c r="E191" s="62"/>
      <c r="F191" s="62"/>
    </row>
    <row r="192" spans="1:6" x14ac:dyDescent="0.35">
      <c r="A192" s="62" t="s">
        <v>330</v>
      </c>
      <c r="B192" s="68">
        <v>1</v>
      </c>
      <c r="C192" s="62"/>
      <c r="D192" s="62"/>
      <c r="E192" s="62"/>
      <c r="F192" s="62"/>
    </row>
    <row r="193" spans="1:6" x14ac:dyDescent="0.35">
      <c r="A193" s="62" t="s">
        <v>331</v>
      </c>
      <c r="B193" s="68">
        <v>1</v>
      </c>
      <c r="C193" s="62"/>
      <c r="D193" s="62"/>
      <c r="E193" s="62"/>
      <c r="F193" s="62"/>
    </row>
    <row r="194" spans="1:6" x14ac:dyDescent="0.35">
      <c r="A194" s="62" t="s">
        <v>332</v>
      </c>
      <c r="B194" s="68">
        <v>1</v>
      </c>
      <c r="C194" s="62"/>
      <c r="D194" s="62"/>
      <c r="E194" s="62"/>
      <c r="F194" s="62"/>
    </row>
    <row r="195" spans="1:6" x14ac:dyDescent="0.35">
      <c r="A195" s="73" t="str">
        <f>A170</f>
        <v>GERMANY</v>
      </c>
      <c r="B195" s="74">
        <f>SUM(B171:B194)</f>
        <v>24</v>
      </c>
      <c r="C195" s="62"/>
      <c r="D195" s="62"/>
      <c r="E195" s="62"/>
      <c r="F195" s="62"/>
    </row>
    <row r="196" spans="1:6" x14ac:dyDescent="0.35">
      <c r="A196" s="62"/>
      <c r="B196" s="68"/>
      <c r="C196" s="62"/>
      <c r="D196" s="62"/>
      <c r="E196" s="62"/>
      <c r="F196" s="62"/>
    </row>
    <row r="197" spans="1:6" x14ac:dyDescent="0.35">
      <c r="A197" s="73" t="s">
        <v>333</v>
      </c>
      <c r="B197" s="68"/>
      <c r="C197" s="62"/>
      <c r="D197" s="62"/>
      <c r="E197" s="62"/>
      <c r="F197" s="62"/>
    </row>
    <row r="198" spans="1:6" x14ac:dyDescent="0.35">
      <c r="A198" s="62" t="s">
        <v>334</v>
      </c>
      <c r="B198" s="68">
        <v>1</v>
      </c>
      <c r="C198" s="62"/>
      <c r="D198" s="62"/>
      <c r="E198" s="62"/>
      <c r="F198" s="62"/>
    </row>
    <row r="199" spans="1:6" x14ac:dyDescent="0.35">
      <c r="A199" s="62" t="s">
        <v>335</v>
      </c>
      <c r="B199" s="68">
        <v>1</v>
      </c>
      <c r="C199" s="62"/>
      <c r="D199" s="62"/>
      <c r="E199" s="62"/>
      <c r="F199" s="62"/>
    </row>
    <row r="200" spans="1:6" x14ac:dyDescent="0.35">
      <c r="A200" s="62" t="s">
        <v>336</v>
      </c>
      <c r="B200" s="68">
        <v>1</v>
      </c>
      <c r="C200" s="62"/>
      <c r="D200" s="62"/>
      <c r="E200" s="62"/>
      <c r="F200" s="62"/>
    </row>
    <row r="201" spans="1:6" x14ac:dyDescent="0.35">
      <c r="A201" s="62" t="s">
        <v>337</v>
      </c>
      <c r="B201" s="68">
        <v>1</v>
      </c>
      <c r="C201" s="62"/>
      <c r="D201" s="62"/>
      <c r="E201" s="62"/>
      <c r="F201" s="62"/>
    </row>
    <row r="202" spans="1:6" x14ac:dyDescent="0.35">
      <c r="A202" s="73" t="s">
        <v>333</v>
      </c>
      <c r="B202" s="74">
        <f>SUM(B198:B201)</f>
        <v>4</v>
      </c>
      <c r="C202" s="62"/>
      <c r="D202" s="62"/>
      <c r="E202" s="62"/>
      <c r="F202" s="62"/>
    </row>
    <row r="203" spans="1:6" x14ac:dyDescent="0.35">
      <c r="A203" s="62"/>
      <c r="B203" s="68"/>
      <c r="C203" s="62"/>
      <c r="D203" s="62"/>
      <c r="E203" s="62"/>
      <c r="F203" s="62"/>
    </row>
    <row r="204" spans="1:6" x14ac:dyDescent="0.35">
      <c r="A204" s="73" t="s">
        <v>338</v>
      </c>
      <c r="B204" s="68"/>
      <c r="C204" s="62"/>
      <c r="D204" s="62"/>
      <c r="E204" s="62"/>
      <c r="F204" s="62"/>
    </row>
    <row r="205" spans="1:6" x14ac:dyDescent="0.35">
      <c r="A205" s="62" t="s">
        <v>339</v>
      </c>
      <c r="B205" s="68">
        <v>1</v>
      </c>
      <c r="C205" s="62"/>
      <c r="D205" s="62"/>
      <c r="E205" s="62"/>
      <c r="F205" s="62"/>
    </row>
    <row r="206" spans="1:6" x14ac:dyDescent="0.35">
      <c r="A206" s="62" t="s">
        <v>340</v>
      </c>
      <c r="B206" s="68">
        <v>1</v>
      </c>
      <c r="C206" s="62"/>
      <c r="D206" s="62"/>
      <c r="E206" s="62"/>
      <c r="F206" s="62"/>
    </row>
    <row r="207" spans="1:6" x14ac:dyDescent="0.35">
      <c r="A207" s="73" t="s">
        <v>338</v>
      </c>
      <c r="B207" s="74">
        <f>SUM(B205:B206)</f>
        <v>2</v>
      </c>
      <c r="C207" s="62"/>
      <c r="D207" s="62"/>
      <c r="E207" s="62"/>
      <c r="F207" s="62"/>
    </row>
    <row r="208" spans="1:6" x14ac:dyDescent="0.35">
      <c r="A208" s="62"/>
      <c r="B208" s="68"/>
      <c r="C208" s="62"/>
      <c r="D208" s="62"/>
      <c r="E208" s="62"/>
      <c r="F208" s="62"/>
    </row>
    <row r="209" spans="1:6" x14ac:dyDescent="0.35">
      <c r="A209" s="73" t="s">
        <v>341</v>
      </c>
      <c r="B209" s="68"/>
      <c r="C209" s="62"/>
      <c r="D209" s="62"/>
      <c r="E209" s="62"/>
      <c r="F209" s="62"/>
    </row>
    <row r="210" spans="1:6" x14ac:dyDescent="0.35">
      <c r="A210" s="62" t="s">
        <v>342</v>
      </c>
      <c r="B210" s="68">
        <v>1</v>
      </c>
      <c r="C210" s="62"/>
      <c r="D210" s="62"/>
      <c r="E210" s="62"/>
      <c r="F210" s="62"/>
    </row>
    <row r="211" spans="1:6" x14ac:dyDescent="0.35">
      <c r="A211" s="62" t="s">
        <v>343</v>
      </c>
      <c r="B211" s="68">
        <v>1</v>
      </c>
      <c r="C211" s="62"/>
      <c r="D211" s="62"/>
      <c r="E211" s="62"/>
      <c r="F211" s="62"/>
    </row>
    <row r="212" spans="1:6" x14ac:dyDescent="0.35">
      <c r="A212" s="62" t="s">
        <v>344</v>
      </c>
      <c r="B212" s="68">
        <v>1</v>
      </c>
      <c r="C212" s="62"/>
      <c r="D212" s="62"/>
      <c r="E212" s="62"/>
      <c r="F212" s="62"/>
    </row>
    <row r="213" spans="1:6" x14ac:dyDescent="0.35">
      <c r="A213" s="73" t="str">
        <f>A209</f>
        <v>NETHERLANDS</v>
      </c>
      <c r="B213" s="74">
        <f>SUM(B210:B212)</f>
        <v>3</v>
      </c>
      <c r="C213" s="62"/>
      <c r="D213" s="62"/>
      <c r="E213" s="62"/>
      <c r="F213" s="62"/>
    </row>
    <row r="214" spans="1:6" x14ac:dyDescent="0.35">
      <c r="A214" s="62"/>
      <c r="B214" s="68"/>
      <c r="C214" s="62"/>
      <c r="D214" s="62"/>
      <c r="E214" s="62"/>
      <c r="F214" s="62"/>
    </row>
    <row r="215" spans="1:6" x14ac:dyDescent="0.35">
      <c r="A215" s="73" t="s">
        <v>345</v>
      </c>
      <c r="B215" s="68"/>
      <c r="C215" s="62"/>
      <c r="D215" s="62"/>
      <c r="E215" s="62"/>
      <c r="F215" s="62"/>
    </row>
    <row r="216" spans="1:6" x14ac:dyDescent="0.35">
      <c r="A216" s="62" t="s">
        <v>346</v>
      </c>
      <c r="B216" s="68">
        <v>1</v>
      </c>
      <c r="C216" s="62"/>
      <c r="D216" s="62"/>
      <c r="E216" s="62"/>
      <c r="F216" s="62"/>
    </row>
    <row r="217" spans="1:6" x14ac:dyDescent="0.35">
      <c r="A217" s="62" t="s">
        <v>347</v>
      </c>
      <c r="B217" s="68">
        <v>1</v>
      </c>
      <c r="C217" s="62"/>
      <c r="D217" s="62"/>
      <c r="E217" s="62"/>
      <c r="F217" s="62"/>
    </row>
    <row r="218" spans="1:6" x14ac:dyDescent="0.35">
      <c r="A218" s="62" t="s">
        <v>348</v>
      </c>
      <c r="B218" s="68">
        <v>1</v>
      </c>
      <c r="C218" s="62"/>
      <c r="D218" s="62"/>
      <c r="E218" s="62"/>
      <c r="F218" s="62"/>
    </row>
    <row r="219" spans="1:6" x14ac:dyDescent="0.35">
      <c r="A219" s="62" t="s">
        <v>349</v>
      </c>
      <c r="B219" s="68">
        <v>1</v>
      </c>
      <c r="C219" s="62"/>
      <c r="D219" s="62"/>
      <c r="E219" s="62"/>
      <c r="F219" s="62"/>
    </row>
    <row r="220" spans="1:6" x14ac:dyDescent="0.35">
      <c r="A220" s="62" t="s">
        <v>350</v>
      </c>
      <c r="B220" s="68">
        <v>1</v>
      </c>
      <c r="C220" s="62"/>
      <c r="D220" s="62"/>
      <c r="E220" s="62"/>
      <c r="F220" s="62"/>
    </row>
    <row r="221" spans="1:6" x14ac:dyDescent="0.35">
      <c r="A221" s="62" t="s">
        <v>351</v>
      </c>
      <c r="B221" s="68">
        <v>1</v>
      </c>
      <c r="C221" s="62"/>
      <c r="D221" s="62"/>
      <c r="E221" s="62"/>
      <c r="F221" s="62"/>
    </row>
    <row r="222" spans="1:6" x14ac:dyDescent="0.35">
      <c r="A222" s="62" t="s">
        <v>352</v>
      </c>
      <c r="B222" s="68">
        <v>1</v>
      </c>
      <c r="C222" s="62"/>
      <c r="D222" s="62"/>
      <c r="E222" s="62"/>
      <c r="F222" s="62"/>
    </row>
    <row r="223" spans="1:6" x14ac:dyDescent="0.35">
      <c r="A223" s="62" t="s">
        <v>353</v>
      </c>
      <c r="B223" s="68">
        <v>1</v>
      </c>
      <c r="C223" s="62"/>
      <c r="D223" s="62"/>
      <c r="E223" s="62"/>
      <c r="F223" s="62"/>
    </row>
    <row r="224" spans="1:6" x14ac:dyDescent="0.35">
      <c r="A224" s="73" t="str">
        <f>A215</f>
        <v>BELGIUM</v>
      </c>
      <c r="B224" s="74">
        <f>SUM(B216:B223)</f>
        <v>8</v>
      </c>
      <c r="C224" s="62"/>
      <c r="D224" s="62"/>
      <c r="E224" s="62"/>
      <c r="F224" s="62"/>
    </row>
    <row r="225" spans="1:6" x14ac:dyDescent="0.35">
      <c r="A225" s="60"/>
      <c r="B225" s="74"/>
      <c r="C225" s="62"/>
      <c r="D225" s="62"/>
      <c r="E225" s="62"/>
      <c r="F225" s="62"/>
    </row>
    <row r="226" spans="1:6" x14ac:dyDescent="0.35">
      <c r="A226" s="73" t="s">
        <v>354</v>
      </c>
      <c r="B226" s="74">
        <v>1</v>
      </c>
      <c r="C226" s="62"/>
      <c r="D226" s="62"/>
      <c r="E226" s="62"/>
      <c r="F226" s="62"/>
    </row>
    <row r="227" spans="1:6" x14ac:dyDescent="0.35">
      <c r="A227" s="62"/>
      <c r="B227" s="68"/>
      <c r="C227" s="62"/>
      <c r="D227" s="62"/>
      <c r="E227" s="62"/>
      <c r="F227" s="62"/>
    </row>
    <row r="228" spans="1:6" x14ac:dyDescent="0.35">
      <c r="A228" s="73" t="s">
        <v>355</v>
      </c>
      <c r="B228" s="68"/>
      <c r="C228" s="62"/>
      <c r="D228" s="62"/>
      <c r="E228" s="62"/>
      <c r="F228" s="62"/>
    </row>
    <row r="229" spans="1:6" x14ac:dyDescent="0.35">
      <c r="A229" s="62" t="s">
        <v>356</v>
      </c>
      <c r="B229" s="68">
        <v>1</v>
      </c>
      <c r="C229" s="62"/>
      <c r="D229" s="62"/>
      <c r="E229" s="62"/>
      <c r="F229" s="62"/>
    </row>
    <row r="230" spans="1:6" x14ac:dyDescent="0.35">
      <c r="A230" s="62" t="s">
        <v>357</v>
      </c>
      <c r="B230" s="68">
        <v>1</v>
      </c>
      <c r="C230" s="62"/>
      <c r="D230" s="62"/>
      <c r="E230" s="62"/>
      <c r="F230" s="62"/>
    </row>
    <row r="231" spans="1:6" x14ac:dyDescent="0.35">
      <c r="A231" s="62" t="s">
        <v>358</v>
      </c>
      <c r="B231" s="68">
        <v>1</v>
      </c>
      <c r="C231" s="62"/>
      <c r="D231" s="62"/>
      <c r="E231" s="62"/>
      <c r="F231" s="62"/>
    </row>
    <row r="232" spans="1:6" x14ac:dyDescent="0.35">
      <c r="A232" s="62" t="s">
        <v>359</v>
      </c>
      <c r="B232" s="68">
        <v>1</v>
      </c>
      <c r="C232" s="62"/>
      <c r="D232" s="62"/>
      <c r="E232" s="62"/>
      <c r="F232" s="62"/>
    </row>
    <row r="233" spans="1:6" x14ac:dyDescent="0.35">
      <c r="A233" s="62" t="s">
        <v>360</v>
      </c>
      <c r="B233" s="68">
        <v>1</v>
      </c>
      <c r="C233" s="62"/>
      <c r="D233" s="62"/>
      <c r="E233" s="62"/>
      <c r="F233" s="62"/>
    </row>
    <row r="234" spans="1:6" x14ac:dyDescent="0.35">
      <c r="A234" s="62" t="s">
        <v>361</v>
      </c>
      <c r="B234" s="68">
        <v>1</v>
      </c>
      <c r="C234" s="62"/>
      <c r="D234" s="62"/>
      <c r="E234" s="62"/>
      <c r="F234" s="62"/>
    </row>
    <row r="235" spans="1:6" x14ac:dyDescent="0.35">
      <c r="A235" s="62" t="s">
        <v>362</v>
      </c>
      <c r="B235" s="68">
        <v>1</v>
      </c>
      <c r="C235" s="62"/>
      <c r="D235" s="62"/>
      <c r="E235" s="62"/>
      <c r="F235" s="62"/>
    </row>
    <row r="236" spans="1:6" x14ac:dyDescent="0.35">
      <c r="A236" s="62" t="s">
        <v>363</v>
      </c>
      <c r="B236" s="68">
        <v>1</v>
      </c>
      <c r="C236" s="62"/>
      <c r="D236" s="62"/>
      <c r="E236" s="62"/>
      <c r="F236" s="62"/>
    </row>
    <row r="237" spans="1:6" x14ac:dyDescent="0.35">
      <c r="A237" s="62" t="s">
        <v>364</v>
      </c>
      <c r="B237" s="68">
        <v>1</v>
      </c>
      <c r="C237" s="62"/>
      <c r="D237" s="62"/>
      <c r="E237" s="62"/>
      <c r="F237" s="62"/>
    </row>
    <row r="238" spans="1:6" x14ac:dyDescent="0.35">
      <c r="A238" s="62" t="s">
        <v>365</v>
      </c>
      <c r="B238" s="68">
        <v>1</v>
      </c>
      <c r="C238" s="62"/>
      <c r="D238" s="62"/>
      <c r="E238" s="62"/>
      <c r="F238" s="62"/>
    </row>
    <row r="239" spans="1:6" x14ac:dyDescent="0.35">
      <c r="A239" s="62" t="s">
        <v>366</v>
      </c>
      <c r="B239" s="68">
        <v>1</v>
      </c>
      <c r="C239" s="62"/>
      <c r="D239" s="62"/>
      <c r="E239" s="62"/>
      <c r="F239" s="62"/>
    </row>
    <row r="240" spans="1:6" x14ac:dyDescent="0.35">
      <c r="A240" s="62" t="s">
        <v>367</v>
      </c>
      <c r="B240" s="68">
        <v>1</v>
      </c>
      <c r="C240" s="62"/>
      <c r="D240" s="62"/>
      <c r="E240" s="62"/>
      <c r="F240" s="62"/>
    </row>
    <row r="241" spans="1:6" x14ac:dyDescent="0.35">
      <c r="A241" s="62" t="s">
        <v>368</v>
      </c>
      <c r="B241" s="68">
        <v>1</v>
      </c>
      <c r="C241" s="62"/>
      <c r="D241" s="62"/>
      <c r="E241" s="62"/>
      <c r="F241" s="62"/>
    </row>
    <row r="242" spans="1:6" x14ac:dyDescent="0.35">
      <c r="A242" s="62" t="s">
        <v>369</v>
      </c>
      <c r="B242" s="68">
        <v>1</v>
      </c>
      <c r="C242" s="62"/>
      <c r="D242" s="62"/>
      <c r="E242" s="62"/>
      <c r="F242" s="62"/>
    </row>
    <row r="243" spans="1:6" x14ac:dyDescent="0.35">
      <c r="A243" s="62" t="s">
        <v>370</v>
      </c>
      <c r="B243" s="68">
        <v>1</v>
      </c>
      <c r="C243" s="62"/>
      <c r="D243" s="62"/>
      <c r="E243" s="62"/>
      <c r="F243" s="62"/>
    </row>
    <row r="244" spans="1:6" x14ac:dyDescent="0.35">
      <c r="A244" s="62" t="s">
        <v>371</v>
      </c>
      <c r="B244" s="68">
        <v>1</v>
      </c>
      <c r="C244" s="62"/>
      <c r="D244" s="62"/>
      <c r="E244" s="62"/>
      <c r="F244" s="62"/>
    </row>
    <row r="245" spans="1:6" x14ac:dyDescent="0.35">
      <c r="A245" s="62" t="s">
        <v>372</v>
      </c>
      <c r="B245" s="68">
        <v>1</v>
      </c>
      <c r="C245" s="62"/>
      <c r="D245" s="62"/>
      <c r="E245" s="62"/>
      <c r="F245" s="62"/>
    </row>
    <row r="246" spans="1:6" x14ac:dyDescent="0.35">
      <c r="A246" s="62" t="s">
        <v>373</v>
      </c>
      <c r="B246" s="68">
        <v>1</v>
      </c>
      <c r="C246" s="62"/>
      <c r="D246" s="62"/>
      <c r="E246" s="62"/>
      <c r="F246" s="62"/>
    </row>
    <row r="247" spans="1:6" x14ac:dyDescent="0.35">
      <c r="A247" s="62" t="s">
        <v>374</v>
      </c>
      <c r="B247" s="68">
        <v>1</v>
      </c>
      <c r="C247" s="62"/>
      <c r="D247" s="62"/>
      <c r="E247" s="62"/>
      <c r="F247" s="62"/>
    </row>
    <row r="248" spans="1:6" x14ac:dyDescent="0.35">
      <c r="A248" s="62" t="s">
        <v>375</v>
      </c>
      <c r="B248" s="68">
        <v>1</v>
      </c>
      <c r="C248" s="62"/>
      <c r="D248" s="62"/>
      <c r="E248" s="62"/>
      <c r="F248" s="62"/>
    </row>
    <row r="249" spans="1:6" x14ac:dyDescent="0.35">
      <c r="A249" s="73" t="str">
        <f>A228</f>
        <v>FRANCE</v>
      </c>
      <c r="B249" s="74">
        <f>SUM(B229:B248)</f>
        <v>20</v>
      </c>
      <c r="C249" s="62"/>
      <c r="D249" s="62"/>
      <c r="E249" s="62"/>
      <c r="F249" s="62"/>
    </row>
    <row r="250" spans="1:6" x14ac:dyDescent="0.35">
      <c r="A250" s="62"/>
      <c r="B250" s="68"/>
      <c r="C250" s="62"/>
      <c r="D250" s="62"/>
      <c r="E250" s="62"/>
      <c r="F250" s="62"/>
    </row>
    <row r="251" spans="1:6" x14ac:dyDescent="0.35">
      <c r="A251" s="73" t="s">
        <v>376</v>
      </c>
      <c r="B251" s="68"/>
      <c r="C251" s="62"/>
      <c r="D251" s="62"/>
      <c r="E251" s="62"/>
      <c r="F251" s="62"/>
    </row>
    <row r="252" spans="1:6" x14ac:dyDescent="0.35">
      <c r="A252" s="62" t="s">
        <v>377</v>
      </c>
      <c r="B252" s="68">
        <v>1</v>
      </c>
      <c r="C252" s="62"/>
      <c r="D252" s="62"/>
      <c r="E252" s="62"/>
      <c r="F252" s="62"/>
    </row>
    <row r="253" spans="1:6" x14ac:dyDescent="0.35">
      <c r="A253" s="62" t="s">
        <v>378</v>
      </c>
      <c r="B253" s="68">
        <v>1</v>
      </c>
      <c r="C253" s="62"/>
      <c r="D253" s="62"/>
      <c r="E253" s="62"/>
      <c r="F253" s="62"/>
    </row>
    <row r="254" spans="1:6" x14ac:dyDescent="0.35">
      <c r="A254" s="62" t="s">
        <v>379</v>
      </c>
      <c r="B254" s="68">
        <v>1</v>
      </c>
      <c r="C254" s="62"/>
      <c r="D254" s="62"/>
      <c r="E254" s="62"/>
      <c r="F254" s="62"/>
    </row>
    <row r="255" spans="1:6" x14ac:dyDescent="0.35">
      <c r="A255" s="62" t="s">
        <v>380</v>
      </c>
      <c r="B255" s="68">
        <v>1</v>
      </c>
      <c r="C255" s="62"/>
      <c r="D255" s="62"/>
      <c r="E255" s="62"/>
      <c r="F255" s="62"/>
    </row>
    <row r="256" spans="1:6" x14ac:dyDescent="0.35">
      <c r="A256" s="62" t="s">
        <v>381</v>
      </c>
      <c r="B256" s="72">
        <v>1</v>
      </c>
      <c r="C256" s="62"/>
      <c r="D256" s="62"/>
      <c r="E256" s="62"/>
      <c r="F256" s="62"/>
    </row>
    <row r="257" spans="1:6" x14ac:dyDescent="0.35">
      <c r="A257" s="73" t="str">
        <f>A251</f>
        <v>SPAIN</v>
      </c>
      <c r="B257" s="74">
        <f>SUM(B252:B256)</f>
        <v>5</v>
      </c>
      <c r="C257" s="62"/>
      <c r="D257" s="62"/>
      <c r="E257" s="62"/>
      <c r="F257" s="62"/>
    </row>
    <row r="258" spans="1:6" x14ac:dyDescent="0.35">
      <c r="A258" s="62"/>
      <c r="B258" s="68"/>
      <c r="C258" s="62"/>
      <c r="D258" s="62"/>
      <c r="E258" s="62"/>
      <c r="F258" s="62"/>
    </row>
    <row r="259" spans="1:6" x14ac:dyDescent="0.35">
      <c r="A259" s="73" t="s">
        <v>382</v>
      </c>
      <c r="B259" s="68"/>
      <c r="C259" s="62"/>
      <c r="D259" s="62"/>
      <c r="E259" s="62"/>
      <c r="F259" s="62"/>
    </row>
    <row r="260" spans="1:6" x14ac:dyDescent="0.35">
      <c r="A260" s="62" t="s">
        <v>383</v>
      </c>
      <c r="B260" s="68">
        <v>1</v>
      </c>
      <c r="C260" s="62"/>
      <c r="D260" s="62"/>
      <c r="E260" s="62"/>
      <c r="F260" s="62"/>
    </row>
    <row r="261" spans="1:6" x14ac:dyDescent="0.35">
      <c r="A261" s="62" t="s">
        <v>384</v>
      </c>
      <c r="B261" s="72">
        <v>1</v>
      </c>
      <c r="C261" s="62"/>
      <c r="D261" s="62"/>
      <c r="E261" s="62"/>
      <c r="F261" s="62"/>
    </row>
    <row r="262" spans="1:6" x14ac:dyDescent="0.35">
      <c r="A262" s="73" t="str">
        <f>A259</f>
        <v>PORTUGAL</v>
      </c>
      <c r="B262" s="74">
        <f>SUM(B260:B261)</f>
        <v>2</v>
      </c>
      <c r="C262" s="62"/>
      <c r="D262" s="62"/>
      <c r="E262" s="62"/>
      <c r="F262" s="62"/>
    </row>
    <row r="263" spans="1:6" x14ac:dyDescent="0.35">
      <c r="A263" s="62"/>
      <c r="B263" s="68"/>
      <c r="C263" s="62"/>
      <c r="D263" s="62"/>
      <c r="E263" s="62"/>
      <c r="F263" s="62"/>
    </row>
    <row r="264" spans="1:6" x14ac:dyDescent="0.35">
      <c r="A264" s="73" t="s">
        <v>385</v>
      </c>
      <c r="B264" s="74"/>
      <c r="C264" s="62"/>
      <c r="D264" s="62"/>
      <c r="E264" s="62"/>
      <c r="F264" s="62"/>
    </row>
    <row r="265" spans="1:6" x14ac:dyDescent="0.35">
      <c r="A265" s="62" t="s">
        <v>386</v>
      </c>
      <c r="B265" s="68">
        <v>1</v>
      </c>
      <c r="C265" s="62"/>
      <c r="D265" s="62"/>
      <c r="E265" s="62"/>
      <c r="F265" s="62"/>
    </row>
    <row r="266" spans="1:6" x14ac:dyDescent="0.35">
      <c r="A266" s="62" t="s">
        <v>387</v>
      </c>
      <c r="B266" s="68">
        <v>1</v>
      </c>
      <c r="C266" s="62"/>
      <c r="D266" s="62"/>
      <c r="E266" s="62"/>
      <c r="F266" s="62"/>
    </row>
    <row r="267" spans="1:6" x14ac:dyDescent="0.35">
      <c r="A267" s="62" t="s">
        <v>388</v>
      </c>
      <c r="B267" s="68">
        <v>1</v>
      </c>
      <c r="C267" s="62"/>
      <c r="D267" s="62"/>
      <c r="E267" s="62"/>
      <c r="F267" s="62"/>
    </row>
    <row r="268" spans="1:6" x14ac:dyDescent="0.35">
      <c r="A268" s="62" t="s">
        <v>389</v>
      </c>
      <c r="B268" s="68">
        <v>1</v>
      </c>
      <c r="C268" s="62"/>
      <c r="D268" s="62"/>
      <c r="E268" s="62"/>
      <c r="F268" s="62"/>
    </row>
    <row r="269" spans="1:6" x14ac:dyDescent="0.35">
      <c r="A269" s="73" t="s">
        <v>385</v>
      </c>
      <c r="B269" s="74">
        <f>SUM(B265:B268)</f>
        <v>4</v>
      </c>
      <c r="C269" s="62"/>
      <c r="D269" s="62"/>
      <c r="E269" s="62"/>
      <c r="F269" s="62"/>
    </row>
    <row r="270" spans="1:6" x14ac:dyDescent="0.35">
      <c r="A270" s="62"/>
      <c r="B270" s="74"/>
      <c r="C270" s="62"/>
      <c r="D270" s="62"/>
      <c r="E270" s="62"/>
      <c r="F270" s="62"/>
    </row>
    <row r="271" spans="1:6" x14ac:dyDescent="0.35">
      <c r="A271" s="73" t="s">
        <v>390</v>
      </c>
      <c r="B271" s="68"/>
      <c r="C271" s="62"/>
      <c r="D271" s="62"/>
      <c r="E271" s="62"/>
      <c r="F271" s="62"/>
    </row>
    <row r="272" spans="1:6" x14ac:dyDescent="0.35">
      <c r="A272" s="62" t="s">
        <v>391</v>
      </c>
      <c r="B272" s="68">
        <v>1</v>
      </c>
      <c r="C272" s="62"/>
      <c r="D272" s="62"/>
      <c r="E272" s="62"/>
      <c r="F272" s="62"/>
    </row>
    <row r="273" spans="1:6" x14ac:dyDescent="0.35">
      <c r="A273" s="62" t="s">
        <v>392</v>
      </c>
      <c r="B273" s="72">
        <v>1</v>
      </c>
      <c r="C273" s="62"/>
      <c r="D273" s="62"/>
      <c r="E273" s="62"/>
      <c r="F273" s="62"/>
    </row>
    <row r="274" spans="1:6" x14ac:dyDescent="0.35">
      <c r="A274" s="73" t="s">
        <v>390</v>
      </c>
      <c r="B274" s="74">
        <f>SUM(B272:B273)</f>
        <v>2</v>
      </c>
      <c r="C274" s="62"/>
      <c r="D274" s="62"/>
      <c r="E274" s="62"/>
      <c r="F274" s="62"/>
    </row>
    <row r="275" spans="1:6" x14ac:dyDescent="0.35">
      <c r="A275" s="62"/>
      <c r="B275" s="68"/>
      <c r="C275" s="62"/>
      <c r="D275" s="62"/>
      <c r="E275" s="62"/>
      <c r="F275" s="62"/>
    </row>
    <row r="276" spans="1:6" x14ac:dyDescent="0.35">
      <c r="A276" s="73" t="s">
        <v>393</v>
      </c>
      <c r="B276" s="68"/>
      <c r="C276" s="62"/>
      <c r="D276" s="62"/>
      <c r="E276" s="62"/>
      <c r="F276" s="62"/>
    </row>
    <row r="277" spans="1:6" x14ac:dyDescent="0.35">
      <c r="A277" s="62" t="s">
        <v>394</v>
      </c>
      <c r="B277" s="72">
        <v>1</v>
      </c>
      <c r="C277" s="62"/>
      <c r="D277" s="62"/>
      <c r="E277" s="62"/>
      <c r="F277" s="62"/>
    </row>
    <row r="278" spans="1:6" x14ac:dyDescent="0.35">
      <c r="A278" s="73" t="str">
        <f>A276</f>
        <v>DENMARK</v>
      </c>
      <c r="B278" s="74">
        <f>SUM(B277:B277)</f>
        <v>1</v>
      </c>
      <c r="C278" s="62"/>
      <c r="D278" s="62"/>
      <c r="E278" s="62"/>
      <c r="F278" s="62"/>
    </row>
    <row r="279" spans="1:6" x14ac:dyDescent="0.35">
      <c r="A279" s="60"/>
      <c r="B279" s="74"/>
      <c r="C279" s="62"/>
      <c r="D279" s="62"/>
      <c r="E279" s="62"/>
      <c r="F279" s="62"/>
    </row>
    <row r="280" spans="1:6" x14ac:dyDescent="0.35">
      <c r="A280" s="73" t="s">
        <v>395</v>
      </c>
      <c r="B280" s="68"/>
      <c r="C280" s="62"/>
      <c r="D280" s="62"/>
      <c r="E280" s="62"/>
      <c r="F280" s="62"/>
    </row>
    <row r="281" spans="1:6" x14ac:dyDescent="0.35">
      <c r="A281" s="62" t="s">
        <v>396</v>
      </c>
      <c r="B281" s="68">
        <v>1</v>
      </c>
      <c r="C281" s="62"/>
      <c r="D281" s="62"/>
      <c r="E281" s="62"/>
      <c r="F281" s="62"/>
    </row>
    <row r="282" spans="1:6" x14ac:dyDescent="0.35">
      <c r="A282" s="62" t="s">
        <v>397</v>
      </c>
      <c r="B282" s="72">
        <v>1</v>
      </c>
      <c r="C282" s="62"/>
      <c r="D282" s="62"/>
      <c r="E282" s="62"/>
      <c r="F282" s="62"/>
    </row>
    <row r="283" spans="1:6" x14ac:dyDescent="0.35">
      <c r="A283" s="73" t="str">
        <f>A280</f>
        <v>CZECH REPUBLIC</v>
      </c>
      <c r="B283" s="74">
        <f>SUM(B281:B282)</f>
        <v>2</v>
      </c>
      <c r="C283" s="62"/>
      <c r="D283" s="62"/>
      <c r="E283" s="62"/>
      <c r="F283" s="62"/>
    </row>
    <row r="284" spans="1:6" x14ac:dyDescent="0.35">
      <c r="A284" s="60"/>
      <c r="B284" s="74"/>
      <c r="C284" s="62"/>
      <c r="D284" s="62"/>
      <c r="E284" s="62"/>
      <c r="F284" s="62"/>
    </row>
    <row r="285" spans="1:6" x14ac:dyDescent="0.35">
      <c r="A285" s="73" t="s">
        <v>398</v>
      </c>
      <c r="B285" s="74"/>
      <c r="C285" s="62"/>
      <c r="D285" s="62"/>
      <c r="E285" s="62"/>
      <c r="F285" s="62"/>
    </row>
    <row r="286" spans="1:6" x14ac:dyDescent="0.35">
      <c r="A286" s="62" t="s">
        <v>399</v>
      </c>
      <c r="B286" s="68">
        <v>1</v>
      </c>
      <c r="C286" s="62"/>
      <c r="D286" s="62"/>
      <c r="E286" s="62"/>
      <c r="F286" s="62"/>
    </row>
    <row r="287" spans="1:6" x14ac:dyDescent="0.35">
      <c r="A287" s="73" t="s">
        <v>398</v>
      </c>
      <c r="B287" s="74">
        <f>SUM(B286)</f>
        <v>1</v>
      </c>
      <c r="C287" s="62"/>
      <c r="D287" s="62"/>
      <c r="E287" s="62"/>
      <c r="F287" s="62"/>
    </row>
    <row r="288" spans="1:6" x14ac:dyDescent="0.35">
      <c r="A288" s="62"/>
      <c r="B288" s="68"/>
      <c r="C288" s="62"/>
      <c r="D288" s="62"/>
      <c r="E288" s="62"/>
      <c r="F288" s="62"/>
    </row>
    <row r="289" spans="1:6" x14ac:dyDescent="0.35">
      <c r="A289" s="73" t="s">
        <v>400</v>
      </c>
      <c r="B289" s="68"/>
      <c r="C289" s="62"/>
      <c r="D289" s="62"/>
      <c r="E289" s="62"/>
      <c r="F289" s="62"/>
    </row>
    <row r="290" spans="1:6" x14ac:dyDescent="0.35">
      <c r="A290" s="62" t="s">
        <v>401</v>
      </c>
      <c r="B290" s="68">
        <v>1</v>
      </c>
      <c r="C290" s="62"/>
      <c r="D290" s="62"/>
      <c r="E290" s="62"/>
      <c r="F290" s="62"/>
    </row>
    <row r="291" spans="1:6" x14ac:dyDescent="0.35">
      <c r="A291" s="62" t="s">
        <v>402</v>
      </c>
      <c r="B291" s="68">
        <v>1</v>
      </c>
      <c r="C291" s="62"/>
      <c r="D291" s="62"/>
      <c r="E291" s="62"/>
      <c r="F291" s="62"/>
    </row>
    <row r="292" spans="1:6" x14ac:dyDescent="0.35">
      <c r="A292" s="62" t="s">
        <v>403</v>
      </c>
      <c r="B292" s="68">
        <v>1</v>
      </c>
      <c r="C292" s="62"/>
      <c r="D292" s="62"/>
      <c r="E292" s="62"/>
      <c r="F292" s="62"/>
    </row>
    <row r="293" spans="1:6" x14ac:dyDescent="0.35">
      <c r="A293" s="62" t="s">
        <v>404</v>
      </c>
      <c r="B293" s="68">
        <v>1</v>
      </c>
      <c r="C293" s="62"/>
      <c r="D293" s="62"/>
      <c r="E293" s="62"/>
      <c r="F293" s="62"/>
    </row>
    <row r="294" spans="1:6" x14ac:dyDescent="0.35">
      <c r="A294" s="62" t="s">
        <v>405</v>
      </c>
      <c r="B294" s="68">
        <v>1</v>
      </c>
      <c r="C294" s="62"/>
      <c r="D294" s="62"/>
      <c r="E294" s="62"/>
      <c r="F294" s="62"/>
    </row>
    <row r="295" spans="1:6" x14ac:dyDescent="0.35">
      <c r="A295" s="62" t="s">
        <v>406</v>
      </c>
      <c r="B295" s="72">
        <v>1</v>
      </c>
      <c r="C295" s="62"/>
      <c r="D295" s="62"/>
      <c r="E295" s="62"/>
      <c r="F295" s="62"/>
    </row>
    <row r="296" spans="1:6" x14ac:dyDescent="0.35">
      <c r="A296" s="73" t="str">
        <f>A289</f>
        <v>POLAND</v>
      </c>
      <c r="B296" s="74">
        <f>SUM(B290:B295)</f>
        <v>6</v>
      </c>
      <c r="C296" s="62"/>
      <c r="D296" s="62"/>
      <c r="E296" s="62"/>
      <c r="F296" s="62"/>
    </row>
    <row r="297" spans="1:6" x14ac:dyDescent="0.35">
      <c r="A297" s="62"/>
      <c r="B297" s="68"/>
      <c r="C297" s="62"/>
      <c r="D297" s="62"/>
      <c r="E297" s="62"/>
      <c r="F297" s="62"/>
    </row>
    <row r="298" spans="1:6" x14ac:dyDescent="0.35">
      <c r="A298" s="73" t="s">
        <v>407</v>
      </c>
      <c r="B298" s="68"/>
      <c r="C298" s="62"/>
      <c r="D298" s="62"/>
      <c r="E298" s="62"/>
      <c r="F298" s="62"/>
    </row>
    <row r="299" spans="1:6" x14ac:dyDescent="0.35">
      <c r="A299" s="62" t="s">
        <v>408</v>
      </c>
      <c r="B299" s="68">
        <v>1</v>
      </c>
      <c r="C299" s="62"/>
      <c r="D299" s="62"/>
      <c r="E299" s="62"/>
      <c r="F299" s="62"/>
    </row>
    <row r="300" spans="1:6" x14ac:dyDescent="0.35">
      <c r="A300" s="62" t="s">
        <v>409</v>
      </c>
      <c r="B300" s="68">
        <v>1</v>
      </c>
      <c r="C300" s="62"/>
      <c r="D300" s="62"/>
      <c r="E300" s="62"/>
      <c r="F300" s="62"/>
    </row>
    <row r="301" spans="1:6" x14ac:dyDescent="0.35">
      <c r="A301" s="62" t="s">
        <v>410</v>
      </c>
      <c r="B301" s="68">
        <v>1</v>
      </c>
      <c r="C301" s="62"/>
      <c r="D301" s="62"/>
      <c r="E301" s="62"/>
      <c r="F301" s="62"/>
    </row>
    <row r="302" spans="1:6" x14ac:dyDescent="0.35">
      <c r="A302" s="62" t="s">
        <v>411</v>
      </c>
      <c r="B302" s="68">
        <v>1</v>
      </c>
      <c r="C302" s="62"/>
      <c r="D302" s="62"/>
      <c r="E302" s="62"/>
      <c r="F302" s="62"/>
    </row>
    <row r="303" spans="1:6" x14ac:dyDescent="0.35">
      <c r="A303" s="62" t="s">
        <v>412</v>
      </c>
      <c r="B303" s="68">
        <v>1</v>
      </c>
      <c r="C303" s="62"/>
      <c r="D303" s="62"/>
      <c r="E303" s="62"/>
      <c r="F303" s="62"/>
    </row>
    <row r="304" spans="1:6" x14ac:dyDescent="0.35">
      <c r="A304" s="62" t="s">
        <v>413</v>
      </c>
      <c r="B304" s="68">
        <v>1</v>
      </c>
      <c r="C304" s="62"/>
      <c r="D304" s="62"/>
      <c r="E304" s="62"/>
      <c r="F304" s="62"/>
    </row>
    <row r="305" spans="1:6" x14ac:dyDescent="0.35">
      <c r="A305" s="62" t="s">
        <v>414</v>
      </c>
      <c r="B305" s="68">
        <v>1</v>
      </c>
      <c r="C305" s="62"/>
      <c r="D305" s="62"/>
      <c r="E305" s="62"/>
      <c r="F305" s="62"/>
    </row>
    <row r="306" spans="1:6" x14ac:dyDescent="0.35">
      <c r="A306" s="62" t="s">
        <v>415</v>
      </c>
      <c r="B306" s="72">
        <v>1</v>
      </c>
      <c r="C306" s="62"/>
      <c r="D306" s="62"/>
      <c r="E306" s="62"/>
      <c r="F306" s="62"/>
    </row>
    <row r="307" spans="1:6" x14ac:dyDescent="0.35">
      <c r="A307" s="73" t="str">
        <f>A298</f>
        <v>CANADA</v>
      </c>
      <c r="B307" s="74">
        <f>SUM(B299:B306)</f>
        <v>8</v>
      </c>
      <c r="C307" s="62"/>
      <c r="D307" s="62"/>
      <c r="E307" s="62"/>
      <c r="F307" s="62"/>
    </row>
    <row r="308" spans="1:6" x14ac:dyDescent="0.35">
      <c r="A308" s="60"/>
      <c r="B308" s="74"/>
      <c r="C308" s="62"/>
      <c r="D308" s="62"/>
      <c r="E308" s="62"/>
      <c r="F308" s="62"/>
    </row>
    <row r="309" spans="1:6" x14ac:dyDescent="0.35">
      <c r="A309" s="73" t="s">
        <v>416</v>
      </c>
      <c r="B309" s="74"/>
      <c r="C309" s="62"/>
      <c r="D309" s="62"/>
      <c r="E309" s="62"/>
      <c r="F309" s="62"/>
    </row>
    <row r="310" spans="1:6" x14ac:dyDescent="0.35">
      <c r="A310" s="62" t="s">
        <v>417</v>
      </c>
      <c r="B310" s="68">
        <v>1</v>
      </c>
      <c r="C310" s="62"/>
      <c r="D310" s="62"/>
      <c r="E310" s="62"/>
      <c r="F310" s="62"/>
    </row>
    <row r="311" spans="1:6" x14ac:dyDescent="0.35">
      <c r="A311" s="73" t="s">
        <v>416</v>
      </c>
      <c r="B311" s="74">
        <f>SUM(B310:B310)</f>
        <v>1</v>
      </c>
      <c r="C311" s="62"/>
      <c r="D311" s="62"/>
      <c r="E311" s="62"/>
      <c r="F311" s="62"/>
    </row>
    <row r="312" spans="1:6" x14ac:dyDescent="0.35">
      <c r="A312" s="62"/>
      <c r="B312" s="74"/>
      <c r="C312" s="62"/>
      <c r="D312" s="62"/>
      <c r="E312" s="62"/>
      <c r="F312" s="62"/>
    </row>
    <row r="313" spans="1:6" x14ac:dyDescent="0.35">
      <c r="A313" s="73" t="s">
        <v>418</v>
      </c>
      <c r="B313" s="74"/>
      <c r="C313" s="62"/>
      <c r="D313" s="62"/>
      <c r="E313" s="62"/>
      <c r="F313" s="62"/>
    </row>
    <row r="314" spans="1:6" x14ac:dyDescent="0.35">
      <c r="A314" s="62" t="s">
        <v>419</v>
      </c>
      <c r="B314" s="68">
        <v>1</v>
      </c>
      <c r="C314" s="62"/>
      <c r="D314" s="62"/>
      <c r="E314" s="62"/>
      <c r="F314" s="62"/>
    </row>
    <row r="315" spans="1:6" x14ac:dyDescent="0.35">
      <c r="A315" s="73" t="s">
        <v>418</v>
      </c>
      <c r="B315" s="74">
        <f>SUM(B314:B314)</f>
        <v>1</v>
      </c>
      <c r="C315" s="62"/>
      <c r="D315" s="62"/>
      <c r="E315" s="62"/>
      <c r="F315" s="62"/>
    </row>
    <row r="316" spans="1:6" x14ac:dyDescent="0.35">
      <c r="A316" s="62"/>
      <c r="B316" s="74"/>
      <c r="C316" s="62"/>
      <c r="D316" s="62"/>
      <c r="E316" s="62"/>
      <c r="F316" s="62"/>
    </row>
    <row r="317" spans="1:6" x14ac:dyDescent="0.35">
      <c r="A317" s="73" t="s">
        <v>420</v>
      </c>
      <c r="B317" s="74"/>
      <c r="C317" s="62"/>
      <c r="D317" s="62"/>
      <c r="E317" s="62"/>
      <c r="F317" s="62"/>
    </row>
    <row r="318" spans="1:6" x14ac:dyDescent="0.35">
      <c r="A318" s="62" t="s">
        <v>421</v>
      </c>
      <c r="B318" s="68">
        <v>1</v>
      </c>
      <c r="C318" s="62"/>
      <c r="D318" s="62"/>
      <c r="E318" s="62"/>
      <c r="F318" s="62"/>
    </row>
    <row r="319" spans="1:6" x14ac:dyDescent="0.35">
      <c r="A319" s="62" t="s">
        <v>422</v>
      </c>
      <c r="B319" s="68">
        <v>1</v>
      </c>
      <c r="C319" s="62"/>
      <c r="D319" s="62"/>
      <c r="E319" s="62"/>
      <c r="F319" s="62"/>
    </row>
    <row r="320" spans="1:6" x14ac:dyDescent="0.35">
      <c r="A320" s="73" t="s">
        <v>420</v>
      </c>
      <c r="B320" s="74">
        <f>SUM(B318:B319)</f>
        <v>2</v>
      </c>
      <c r="C320" s="62"/>
      <c r="D320" s="62"/>
      <c r="E320" s="62"/>
      <c r="F320" s="62"/>
    </row>
    <row r="321" spans="1:6" x14ac:dyDescent="0.35">
      <c r="A321" s="62"/>
      <c r="B321" s="74"/>
      <c r="C321" s="62"/>
      <c r="D321" s="62"/>
      <c r="E321" s="62"/>
      <c r="F321" s="62"/>
    </row>
    <row r="322" spans="1:6" x14ac:dyDescent="0.35">
      <c r="A322" s="73" t="s">
        <v>423</v>
      </c>
      <c r="B322" s="74"/>
      <c r="C322" s="62"/>
      <c r="D322" s="62"/>
      <c r="E322" s="62"/>
      <c r="F322" s="62"/>
    </row>
    <row r="323" spans="1:6" x14ac:dyDescent="0.35">
      <c r="A323" s="62" t="s">
        <v>424</v>
      </c>
      <c r="B323" s="68">
        <v>1</v>
      </c>
      <c r="C323" s="62"/>
      <c r="D323" s="62"/>
      <c r="E323" s="62"/>
      <c r="F323" s="62"/>
    </row>
    <row r="324" spans="1:6" x14ac:dyDescent="0.35">
      <c r="A324" s="62" t="s">
        <v>425</v>
      </c>
      <c r="B324" s="68">
        <v>1</v>
      </c>
      <c r="C324" s="62"/>
      <c r="D324" s="62"/>
      <c r="E324" s="62"/>
      <c r="F324" s="62"/>
    </row>
    <row r="325" spans="1:6" x14ac:dyDescent="0.35">
      <c r="A325" s="62" t="s">
        <v>426</v>
      </c>
      <c r="B325" s="68">
        <v>1</v>
      </c>
      <c r="C325" s="62"/>
      <c r="D325" s="62"/>
      <c r="E325" s="62"/>
      <c r="F325" s="62"/>
    </row>
    <row r="326" spans="1:6" x14ac:dyDescent="0.35">
      <c r="A326" s="73" t="s">
        <v>423</v>
      </c>
      <c r="B326" s="74">
        <f>SUM(B323:B325)</f>
        <v>3</v>
      </c>
      <c r="C326" s="62"/>
      <c r="D326" s="62"/>
      <c r="E326" s="62"/>
      <c r="F326" s="62"/>
    </row>
    <row r="327" spans="1:6" x14ac:dyDescent="0.35">
      <c r="A327" s="73"/>
      <c r="B327" s="74"/>
      <c r="C327" s="62"/>
      <c r="D327" s="62"/>
      <c r="E327" s="62"/>
      <c r="F327" s="62"/>
    </row>
    <row r="328" spans="1:6" x14ac:dyDescent="0.35">
      <c r="A328" s="73" t="s">
        <v>427</v>
      </c>
      <c r="B328" s="74">
        <v>1</v>
      </c>
      <c r="C328" s="62"/>
      <c r="D328" s="62"/>
      <c r="E328" s="62"/>
      <c r="F328" s="62"/>
    </row>
    <row r="329" spans="1:6" x14ac:dyDescent="0.35">
      <c r="A329" s="73"/>
      <c r="B329" s="74"/>
      <c r="C329" s="62"/>
      <c r="D329" s="62"/>
      <c r="E329" s="62"/>
      <c r="F329" s="62"/>
    </row>
    <row r="330" spans="1:6" x14ac:dyDescent="0.35">
      <c r="A330" s="73" t="s">
        <v>428</v>
      </c>
      <c r="B330" s="74"/>
      <c r="C330" s="62"/>
      <c r="D330" s="62"/>
      <c r="E330" s="62"/>
      <c r="F330" s="62"/>
    </row>
    <row r="331" spans="1:6" x14ac:dyDescent="0.35">
      <c r="A331" s="62" t="s">
        <v>429</v>
      </c>
      <c r="B331" s="68">
        <v>1</v>
      </c>
      <c r="C331" s="62"/>
      <c r="D331" s="62"/>
      <c r="E331" s="62"/>
      <c r="F331" s="62"/>
    </row>
    <row r="332" spans="1:6" x14ac:dyDescent="0.35">
      <c r="A332" s="62" t="s">
        <v>430</v>
      </c>
      <c r="B332" s="68">
        <v>1</v>
      </c>
      <c r="C332" s="62"/>
      <c r="D332" s="62"/>
      <c r="E332" s="62"/>
      <c r="F332" s="62"/>
    </row>
    <row r="333" spans="1:6" x14ac:dyDescent="0.35">
      <c r="A333" s="62" t="s">
        <v>431</v>
      </c>
      <c r="B333" s="68">
        <v>1</v>
      </c>
      <c r="C333" s="62"/>
      <c r="D333" s="62"/>
      <c r="E333" s="62"/>
      <c r="F333" s="62"/>
    </row>
    <row r="334" spans="1:6" x14ac:dyDescent="0.35">
      <c r="A334" s="62" t="s">
        <v>432</v>
      </c>
      <c r="B334" s="68">
        <v>1</v>
      </c>
      <c r="C334" s="62"/>
      <c r="D334" s="62"/>
      <c r="E334" s="62"/>
      <c r="F334" s="62"/>
    </row>
    <row r="335" spans="1:6" x14ac:dyDescent="0.35">
      <c r="A335" s="62" t="s">
        <v>433</v>
      </c>
      <c r="B335" s="68">
        <v>1</v>
      </c>
      <c r="C335" s="62"/>
      <c r="D335" s="62"/>
      <c r="E335" s="62"/>
      <c r="F335" s="62"/>
    </row>
    <row r="336" spans="1:6" x14ac:dyDescent="0.35">
      <c r="A336" s="62" t="s">
        <v>434</v>
      </c>
      <c r="B336" s="68">
        <v>1</v>
      </c>
      <c r="C336" s="62"/>
      <c r="D336" s="62"/>
      <c r="E336" s="62"/>
      <c r="F336" s="62"/>
    </row>
    <row r="337" spans="1:6" x14ac:dyDescent="0.35">
      <c r="A337" s="62" t="s">
        <v>435</v>
      </c>
      <c r="B337" s="68">
        <v>1</v>
      </c>
      <c r="C337" s="62"/>
      <c r="D337" s="62"/>
      <c r="E337" s="62"/>
      <c r="F337" s="62"/>
    </row>
    <row r="338" spans="1:6" x14ac:dyDescent="0.35">
      <c r="A338" s="62" t="s">
        <v>436</v>
      </c>
      <c r="B338" s="68">
        <v>1</v>
      </c>
      <c r="C338" s="62"/>
      <c r="D338" s="62"/>
      <c r="E338" s="62"/>
      <c r="F338" s="62"/>
    </row>
    <row r="339" spans="1:6" x14ac:dyDescent="0.35">
      <c r="A339" s="62" t="s">
        <v>437</v>
      </c>
      <c r="B339" s="68">
        <v>1</v>
      </c>
      <c r="C339" s="62"/>
      <c r="D339" s="62"/>
      <c r="E339" s="62"/>
      <c r="F339" s="62"/>
    </row>
    <row r="340" spans="1:6" x14ac:dyDescent="0.35">
      <c r="A340" s="62" t="s">
        <v>438</v>
      </c>
      <c r="B340" s="68">
        <v>1</v>
      </c>
      <c r="C340" s="62"/>
      <c r="D340" s="62"/>
      <c r="E340" s="62"/>
      <c r="F340" s="62"/>
    </row>
    <row r="341" spans="1:6" x14ac:dyDescent="0.35">
      <c r="A341" s="62" t="s">
        <v>439</v>
      </c>
      <c r="B341" s="68">
        <v>1</v>
      </c>
      <c r="C341" s="62"/>
      <c r="D341" s="62"/>
      <c r="E341" s="62"/>
      <c r="F341" s="62"/>
    </row>
    <row r="342" spans="1:6" x14ac:dyDescent="0.35">
      <c r="A342" s="62" t="s">
        <v>440</v>
      </c>
      <c r="B342" s="68">
        <v>1</v>
      </c>
      <c r="C342" s="62"/>
      <c r="D342" s="62"/>
      <c r="E342" s="62"/>
      <c r="F342" s="62"/>
    </row>
    <row r="343" spans="1:6" x14ac:dyDescent="0.35">
      <c r="A343" s="73" t="s">
        <v>428</v>
      </c>
      <c r="B343" s="74">
        <f>SUM(B331:B342)</f>
        <v>12</v>
      </c>
      <c r="C343" s="62"/>
      <c r="D343" s="62"/>
      <c r="E343" s="62"/>
      <c r="F343" s="62"/>
    </row>
    <row r="344" spans="1:6" x14ac:dyDescent="0.35">
      <c r="A344" s="73"/>
      <c r="B344" s="74"/>
      <c r="C344" s="62"/>
      <c r="D344" s="62"/>
      <c r="E344" s="62"/>
      <c r="F344" s="62"/>
    </row>
    <row r="345" spans="1:6" x14ac:dyDescent="0.35">
      <c r="A345" s="73" t="s">
        <v>441</v>
      </c>
      <c r="B345" s="74">
        <v>1</v>
      </c>
      <c r="C345" s="62"/>
      <c r="D345" s="62"/>
      <c r="E345" s="62"/>
      <c r="F345" s="62"/>
    </row>
    <row r="346" spans="1:6" x14ac:dyDescent="0.35">
      <c r="A346" s="73"/>
      <c r="B346" s="74"/>
      <c r="C346" s="62"/>
      <c r="D346" s="62"/>
      <c r="E346" s="62"/>
      <c r="F346" s="62"/>
    </row>
    <row r="347" spans="1:6" x14ac:dyDescent="0.35">
      <c r="A347" s="73" t="s">
        <v>442</v>
      </c>
      <c r="B347" s="74">
        <v>1</v>
      </c>
      <c r="C347" s="62"/>
      <c r="D347" s="62"/>
      <c r="E347" s="62"/>
      <c r="F347" s="62"/>
    </row>
    <row r="348" spans="1:6" x14ac:dyDescent="0.35">
      <c r="A348" s="73"/>
      <c r="B348" s="74"/>
      <c r="C348" s="62"/>
      <c r="D348" s="62"/>
      <c r="E348" s="62"/>
      <c r="F348" s="62"/>
    </row>
    <row r="349" spans="1:6" x14ac:dyDescent="0.35">
      <c r="A349" s="62" t="s">
        <v>443</v>
      </c>
      <c r="B349" s="68">
        <v>1</v>
      </c>
      <c r="C349" s="62"/>
      <c r="D349" s="62"/>
      <c r="E349" s="62"/>
      <c r="F349" s="62"/>
    </row>
    <row r="350" spans="1:6" x14ac:dyDescent="0.35">
      <c r="A350" s="62" t="s">
        <v>444</v>
      </c>
      <c r="B350" s="68">
        <v>1</v>
      </c>
      <c r="C350" s="62"/>
      <c r="D350" s="62"/>
      <c r="E350" s="62"/>
      <c r="F350" s="62"/>
    </row>
    <row r="351" spans="1:6" x14ac:dyDescent="0.35">
      <c r="A351" s="73" t="s">
        <v>445</v>
      </c>
      <c r="B351" s="74">
        <f>+B350+B349</f>
        <v>2</v>
      </c>
      <c r="C351" s="62"/>
      <c r="D351" s="62"/>
      <c r="E351" s="62"/>
      <c r="F351" s="62"/>
    </row>
    <row r="352" spans="1:6" x14ac:dyDescent="0.35">
      <c r="A352" s="73"/>
      <c r="B352" s="74"/>
      <c r="C352" s="62"/>
      <c r="D352" s="62"/>
      <c r="E352" s="62"/>
      <c r="F352" s="62"/>
    </row>
    <row r="353" spans="1:6" x14ac:dyDescent="0.35">
      <c r="A353" s="73" t="s">
        <v>446</v>
      </c>
      <c r="B353" s="74">
        <v>1</v>
      </c>
      <c r="C353" s="62"/>
      <c r="D353" s="62"/>
      <c r="E353" s="62"/>
      <c r="F353" s="62"/>
    </row>
    <row r="354" spans="1:6" x14ac:dyDescent="0.35">
      <c r="A354" s="62"/>
      <c r="B354" s="68"/>
      <c r="C354" s="62"/>
      <c r="D354" s="62"/>
      <c r="E354" s="62"/>
      <c r="F354" s="62"/>
    </row>
    <row r="355" spans="1:6" x14ac:dyDescent="0.35">
      <c r="A355" s="73"/>
      <c r="B355" s="76">
        <f>B97+B104+B148+B195+B202+B207+B213+B224+B226+B249+B257+B262+B274+B283+B296+B307+B311+B315+B152+B160+B168+B326+B166+B287+B278+B320+B269+B328+B343+B345+B347+B351+B353</f>
        <v>265</v>
      </c>
      <c r="C355" s="62"/>
      <c r="D355" s="62"/>
      <c r="E355" s="62"/>
      <c r="F355" s="62"/>
    </row>
    <row r="356" spans="1:6" ht="15" thickBot="1" x14ac:dyDescent="0.4">
      <c r="A356" s="62"/>
      <c r="B356" s="77"/>
      <c r="C356" s="62"/>
      <c r="D356" s="62"/>
      <c r="E356" s="62"/>
      <c r="F356" s="62"/>
    </row>
    <row r="357" spans="1:6" x14ac:dyDescent="0.35">
      <c r="A357" s="62"/>
      <c r="B357" s="78"/>
      <c r="C357" s="62"/>
      <c r="D357" s="62"/>
      <c r="E357" s="62"/>
      <c r="F357" s="62"/>
    </row>
    <row r="358" spans="1:6" x14ac:dyDescent="0.35">
      <c r="A358" s="62"/>
      <c r="B358" s="79"/>
      <c r="C358" s="62"/>
      <c r="D358" s="62"/>
      <c r="E358" s="62"/>
      <c r="F358" s="62"/>
    </row>
    <row r="359" spans="1:6" x14ac:dyDescent="0.35">
      <c r="A359" s="62"/>
      <c r="B359" s="62"/>
      <c r="C359" s="62"/>
      <c r="D359" s="62"/>
      <c r="E359" s="62"/>
      <c r="F359" s="62"/>
    </row>
    <row r="360" spans="1:6" x14ac:dyDescent="0.35">
      <c r="A360" s="62"/>
      <c r="B360" s="62"/>
      <c r="C360" s="62"/>
      <c r="D360" s="62"/>
      <c r="E360" s="62"/>
      <c r="F360" s="62"/>
    </row>
    <row r="361" spans="1:6" x14ac:dyDescent="0.35">
      <c r="A361" s="62"/>
      <c r="B361" s="62"/>
      <c r="C361" s="62"/>
      <c r="D361" s="62"/>
      <c r="E361" s="62"/>
      <c r="F361" s="6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EF043-A817-4429-8B1F-6663B5438B00}">
  <sheetPr codeName="Sheet5">
    <tabColor theme="5"/>
  </sheetPr>
  <dimension ref="A1:AM43"/>
  <sheetViews>
    <sheetView zoomScale="90" zoomScaleNormal="90" workbookViewId="0">
      <pane xSplit="1" ySplit="5" topLeftCell="B30" activePane="bottomRight" state="frozen"/>
      <selection pane="topRight" activeCell="B1" sqref="B1"/>
      <selection pane="bottomLeft" activeCell="A6" sqref="A6"/>
      <selection pane="bottomRight" activeCell="H48" sqref="G48:H48"/>
    </sheetView>
  </sheetViews>
  <sheetFormatPr defaultColWidth="9.1796875" defaultRowHeight="14.5" x14ac:dyDescent="0.35"/>
  <cols>
    <col min="1" max="1" width="18.81640625" style="99" customWidth="1"/>
    <col min="2" max="2" width="18.81640625" style="100" customWidth="1"/>
    <col min="3" max="6" width="4.81640625" style="107" customWidth="1"/>
    <col min="7" max="7" width="5.81640625" style="108" bestFit="1" customWidth="1"/>
    <col min="8" max="8" width="2.81640625" style="107" customWidth="1"/>
    <col min="9" max="12" width="4.81640625" style="107" customWidth="1"/>
    <col min="13" max="13" width="2.81640625" style="107" customWidth="1"/>
    <col min="14" max="15" width="4.81640625" style="107" customWidth="1"/>
    <col min="16" max="16" width="2.81640625" style="101" customWidth="1"/>
    <col min="17" max="18" width="4.81640625" style="107" customWidth="1"/>
    <col min="19" max="19" width="2.81640625" style="107" customWidth="1"/>
    <col min="20" max="20" width="4.81640625" style="107" customWidth="1"/>
    <col min="21" max="21" width="2.81640625" style="107" customWidth="1"/>
    <col min="22" max="23" width="4.81640625" style="107" customWidth="1"/>
    <col min="24" max="24" width="2.81640625" style="107" customWidth="1"/>
    <col min="25" max="27" width="4.81640625" style="107" customWidth="1"/>
    <col min="28" max="28" width="2.81640625" style="107" customWidth="1"/>
    <col min="29" max="30" width="4.81640625" style="107" customWidth="1"/>
    <col min="31" max="34" width="9.1796875" style="1"/>
    <col min="37" max="37" width="9.1796875" style="1"/>
    <col min="38" max="39" width="5.54296875" style="344" customWidth="1"/>
    <col min="40" max="40" width="9.1796875" style="1"/>
    <col min="41" max="41" width="8.81640625" style="1" customWidth="1"/>
    <col min="42" max="16384" width="9.1796875" style="1"/>
  </cols>
  <sheetData>
    <row r="1" spans="1:39" s="238" customFormat="1" ht="28.5" customHeight="1" x14ac:dyDescent="0.3">
      <c r="A1" s="236"/>
      <c r="C1" s="676" t="s">
        <v>587</v>
      </c>
      <c r="D1" s="677"/>
      <c r="E1" s="677"/>
      <c r="F1" s="677"/>
      <c r="G1" s="678"/>
      <c r="H1" s="237"/>
      <c r="I1" s="676" t="s">
        <v>585</v>
      </c>
      <c r="J1" s="677"/>
      <c r="K1" s="677"/>
      <c r="L1" s="678"/>
      <c r="M1" s="237"/>
      <c r="N1" s="528"/>
      <c r="O1" s="531"/>
      <c r="P1" s="237"/>
      <c r="Q1" s="533"/>
      <c r="R1" s="533"/>
      <c r="S1" s="237"/>
      <c r="T1" s="675" t="s">
        <v>588</v>
      </c>
      <c r="U1" s="237"/>
      <c r="V1" s="536"/>
      <c r="W1" s="536"/>
      <c r="X1" s="101"/>
      <c r="Y1" s="538"/>
      <c r="Z1" s="538"/>
      <c r="AA1" s="538"/>
      <c r="AB1" s="101"/>
      <c r="AC1" s="540"/>
      <c r="AD1" s="540"/>
      <c r="AL1" s="343"/>
      <c r="AM1" s="343"/>
    </row>
    <row r="2" spans="1:39" x14ac:dyDescent="0.35">
      <c r="C2" s="516" t="s">
        <v>137</v>
      </c>
      <c r="D2" s="515"/>
      <c r="E2" s="286" t="s">
        <v>138</v>
      </c>
      <c r="F2" s="518" t="s">
        <v>139</v>
      </c>
      <c r="G2" s="519" t="s">
        <v>463</v>
      </c>
      <c r="H2" s="101"/>
      <c r="I2" s="521" t="s">
        <v>137</v>
      </c>
      <c r="J2" s="522"/>
      <c r="K2" s="524"/>
      <c r="L2" s="526"/>
      <c r="M2" s="101"/>
      <c r="N2" s="529"/>
      <c r="O2" s="216"/>
      <c r="Q2" s="534"/>
      <c r="R2" s="534"/>
      <c r="S2" s="101"/>
      <c r="T2" s="675"/>
      <c r="U2" s="101"/>
      <c r="V2" s="536"/>
      <c r="W2" s="536"/>
      <c r="X2" s="101"/>
      <c r="Y2" s="538"/>
      <c r="Z2" s="538"/>
      <c r="AA2" s="538"/>
      <c r="AB2" s="101"/>
      <c r="AC2" s="540"/>
      <c r="AD2" s="540"/>
    </row>
    <row r="3" spans="1:39" ht="135" x14ac:dyDescent="0.35">
      <c r="A3" s="674" t="s">
        <v>586</v>
      </c>
      <c r="B3" s="674"/>
      <c r="C3" s="514" t="s">
        <v>464</v>
      </c>
      <c r="D3" s="102" t="s">
        <v>112</v>
      </c>
      <c r="E3" s="203" t="s">
        <v>113</v>
      </c>
      <c r="F3" s="517" t="s">
        <v>114</v>
      </c>
      <c r="G3" s="103" t="s">
        <v>465</v>
      </c>
      <c r="H3" s="104"/>
      <c r="I3" s="520" t="s">
        <v>464</v>
      </c>
      <c r="J3" s="523" t="s">
        <v>112</v>
      </c>
      <c r="K3" s="525" t="s">
        <v>113</v>
      </c>
      <c r="L3" s="527" t="s">
        <v>466</v>
      </c>
      <c r="M3" s="220"/>
      <c r="N3" s="530" t="s">
        <v>467</v>
      </c>
      <c r="O3" s="532" t="s">
        <v>468</v>
      </c>
      <c r="P3" s="104"/>
      <c r="Q3" s="535" t="s">
        <v>469</v>
      </c>
      <c r="R3" s="535" t="s">
        <v>470</v>
      </c>
      <c r="S3" s="276"/>
      <c r="T3" s="275" t="s">
        <v>472</v>
      </c>
      <c r="U3" s="104"/>
      <c r="V3" s="537" t="s">
        <v>626</v>
      </c>
      <c r="W3" s="537" t="s">
        <v>627</v>
      </c>
      <c r="X3" s="104"/>
      <c r="Y3" s="539" t="s">
        <v>757</v>
      </c>
      <c r="Z3" s="539" t="s">
        <v>591</v>
      </c>
      <c r="AA3" s="539" t="s">
        <v>592</v>
      </c>
      <c r="AB3" s="104"/>
      <c r="AC3" s="541" t="s">
        <v>589</v>
      </c>
      <c r="AD3" s="541" t="s">
        <v>590</v>
      </c>
      <c r="AL3" s="673" t="s">
        <v>637</v>
      </c>
      <c r="AM3" s="673"/>
    </row>
    <row r="4" spans="1:39" ht="14" hidden="1" customHeight="1" x14ac:dyDescent="0.35">
      <c r="A4" s="670" t="s">
        <v>34</v>
      </c>
      <c r="B4" s="109" t="s">
        <v>478</v>
      </c>
      <c r="C4" s="106">
        <v>0.05</v>
      </c>
      <c r="D4" s="106">
        <v>0.1</v>
      </c>
      <c r="E4" s="106">
        <v>0.06</v>
      </c>
      <c r="F4" s="106">
        <v>0.13</v>
      </c>
      <c r="G4" s="239">
        <v>0.08</v>
      </c>
      <c r="H4" s="105"/>
      <c r="I4" s="111"/>
      <c r="J4" s="111"/>
      <c r="K4" s="111"/>
      <c r="L4" s="111"/>
      <c r="M4" s="105"/>
      <c r="N4" s="106">
        <v>0.08</v>
      </c>
      <c r="O4" s="106">
        <v>0.08</v>
      </c>
      <c r="P4" s="106"/>
      <c r="Q4" s="106">
        <v>0.1</v>
      </c>
      <c r="R4" s="106">
        <v>0.64</v>
      </c>
      <c r="S4" s="106"/>
      <c r="T4" s="101">
        <v>0.09</v>
      </c>
      <c r="U4" s="105"/>
      <c r="V4" s="106">
        <v>0.01</v>
      </c>
      <c r="W4" s="106">
        <v>0.13</v>
      </c>
      <c r="X4" s="105"/>
      <c r="Y4" s="105">
        <v>0.06</v>
      </c>
      <c r="Z4" s="105">
        <v>0.14000000000000001</v>
      </c>
      <c r="AA4" s="105">
        <v>0.22</v>
      </c>
      <c r="AB4" s="105"/>
      <c r="AC4" s="106">
        <v>0.05</v>
      </c>
      <c r="AD4" s="106">
        <v>7.0000000000000007E-2</v>
      </c>
      <c r="AL4" s="671" t="s">
        <v>34</v>
      </c>
      <c r="AM4" s="494" t="s">
        <v>474</v>
      </c>
    </row>
    <row r="5" spans="1:39" hidden="1" x14ac:dyDescent="0.35">
      <c r="A5" s="670"/>
      <c r="B5" s="110" t="s">
        <v>479</v>
      </c>
      <c r="C5" s="101">
        <v>0</v>
      </c>
      <c r="D5" s="101">
        <v>0.14000000000000001</v>
      </c>
      <c r="E5" s="101">
        <v>0.01</v>
      </c>
      <c r="F5" s="101">
        <v>0.16</v>
      </c>
      <c r="G5" s="240">
        <v>6.9615707485272002E-2</v>
      </c>
      <c r="I5" s="112"/>
      <c r="J5" s="112"/>
      <c r="K5" s="112"/>
      <c r="L5" s="112"/>
      <c r="N5" s="101">
        <v>7.0000000000000007E-2</v>
      </c>
      <c r="O5" s="101">
        <v>7.0000000000000007E-2</v>
      </c>
      <c r="Q5" s="101">
        <v>0.11</v>
      </c>
      <c r="R5" s="101">
        <v>0.65400000000000003</v>
      </c>
      <c r="S5" s="101"/>
      <c r="T5" s="101">
        <v>9.5771777890983234E-2</v>
      </c>
      <c r="V5" s="101">
        <v>0</v>
      </c>
      <c r="W5" s="101">
        <v>0.01</v>
      </c>
      <c r="Y5" s="107">
        <v>0.09</v>
      </c>
      <c r="Z5" s="107">
        <v>0.3</v>
      </c>
      <c r="AA5" s="107">
        <v>0.08</v>
      </c>
      <c r="AC5" s="101">
        <v>0.01</v>
      </c>
      <c r="AD5" s="101">
        <v>0.01</v>
      </c>
      <c r="AL5" s="671"/>
      <c r="AM5" s="494" t="s">
        <v>475</v>
      </c>
    </row>
    <row r="6" spans="1:39" x14ac:dyDescent="0.35">
      <c r="A6" s="670"/>
      <c r="B6" s="110" t="s">
        <v>480</v>
      </c>
      <c r="C6" s="101">
        <v>0.03</v>
      </c>
      <c r="D6" s="101">
        <v>0.05</v>
      </c>
      <c r="E6" s="101">
        <v>-0.03</v>
      </c>
      <c r="F6" s="101">
        <v>0.14000000000000001</v>
      </c>
      <c r="G6" s="240">
        <v>4.2272123404532416E-2</v>
      </c>
      <c r="I6" s="101">
        <v>0.04</v>
      </c>
      <c r="J6" s="101">
        <v>0.1</v>
      </c>
      <c r="K6" s="101">
        <v>-0.04</v>
      </c>
      <c r="L6" s="101">
        <v>0.06</v>
      </c>
      <c r="N6" s="101">
        <v>0.02</v>
      </c>
      <c r="O6" s="101">
        <v>0.08</v>
      </c>
      <c r="Q6" s="101">
        <v>0.08</v>
      </c>
      <c r="R6" s="101">
        <v>0.66700000000000004</v>
      </c>
      <c r="S6" s="101"/>
      <c r="T6" s="101">
        <v>3.6174430128840473E-2</v>
      </c>
      <c r="V6" s="101">
        <v>0.01</v>
      </c>
      <c r="W6" s="101">
        <v>7.0000000000000007E-2</v>
      </c>
      <c r="Y6" s="107">
        <v>0.04</v>
      </c>
      <c r="Z6" s="107">
        <v>-0.01</v>
      </c>
      <c r="AA6" s="107">
        <v>0.28999999999999998</v>
      </c>
      <c r="AC6" s="101">
        <v>-0.04</v>
      </c>
      <c r="AD6" s="101">
        <v>-0.02</v>
      </c>
      <c r="AL6" s="671"/>
      <c r="AM6" s="494" t="s">
        <v>476</v>
      </c>
    </row>
    <row r="7" spans="1:39" x14ac:dyDescent="0.35">
      <c r="A7" s="670"/>
      <c r="B7" s="110" t="s">
        <v>481</v>
      </c>
      <c r="C7" s="101">
        <v>0.06</v>
      </c>
      <c r="D7" s="101">
        <v>0.23</v>
      </c>
      <c r="E7" s="101">
        <v>-0.04</v>
      </c>
      <c r="F7" s="101">
        <v>0.14000000000000001</v>
      </c>
      <c r="G7" s="240">
        <v>0.08</v>
      </c>
      <c r="I7" s="101">
        <v>0.05</v>
      </c>
      <c r="J7" s="101">
        <v>0.17</v>
      </c>
      <c r="K7" s="338">
        <v>-0.03</v>
      </c>
      <c r="L7" s="101">
        <v>0.05</v>
      </c>
      <c r="N7" s="101">
        <v>0.1</v>
      </c>
      <c r="O7" s="101">
        <v>0.06</v>
      </c>
      <c r="Q7" s="101">
        <v>0.15</v>
      </c>
      <c r="R7" s="101">
        <v>0.69099999999999995</v>
      </c>
      <c r="S7" s="101"/>
      <c r="T7" s="101">
        <v>2.5523560209424145E-2</v>
      </c>
      <c r="V7" s="101">
        <v>0.08</v>
      </c>
      <c r="W7" s="101">
        <v>0.01</v>
      </c>
      <c r="Y7" s="107">
        <v>0.14000000000000001</v>
      </c>
      <c r="Z7" s="107">
        <v>0.47</v>
      </c>
      <c r="AA7" s="107">
        <v>0.36</v>
      </c>
      <c r="AC7" s="101">
        <v>-0.06</v>
      </c>
      <c r="AD7" s="101">
        <v>-0.01</v>
      </c>
      <c r="AL7" s="671"/>
      <c r="AM7" s="494" t="s">
        <v>477</v>
      </c>
    </row>
    <row r="8" spans="1:39" ht="14" customHeight="1" x14ac:dyDescent="0.35">
      <c r="A8" s="679" t="s">
        <v>33</v>
      </c>
      <c r="B8" s="283" t="s">
        <v>482</v>
      </c>
      <c r="C8" s="106">
        <v>7.0000000000000007E-2</v>
      </c>
      <c r="D8" s="106">
        <v>0.12</v>
      </c>
      <c r="E8" s="106">
        <v>-0.1</v>
      </c>
      <c r="F8" s="106">
        <v>0.1</v>
      </c>
      <c r="G8" s="239">
        <v>0.03</v>
      </c>
      <c r="H8" s="105"/>
      <c r="I8" s="106">
        <v>7.0000000000000007E-2</v>
      </c>
      <c r="J8" s="106">
        <v>0.12</v>
      </c>
      <c r="K8" s="106">
        <v>-0.1</v>
      </c>
      <c r="L8" s="106">
        <v>0.03</v>
      </c>
      <c r="M8" s="105"/>
      <c r="N8" s="106">
        <v>0.05</v>
      </c>
      <c r="O8" s="106">
        <v>0.02</v>
      </c>
      <c r="P8" s="106"/>
      <c r="Q8" s="106">
        <v>0.1</v>
      </c>
      <c r="R8" s="106">
        <v>0.72499999999999998</v>
      </c>
      <c r="S8" s="106"/>
      <c r="T8" s="106">
        <v>2.1220159151193574E-2</v>
      </c>
      <c r="U8" s="105"/>
      <c r="V8" s="106">
        <v>0.08</v>
      </c>
      <c r="W8" s="106">
        <v>0.05</v>
      </c>
      <c r="X8" s="105"/>
      <c r="Y8" s="105">
        <v>0.1</v>
      </c>
      <c r="Z8" s="105">
        <v>0.13</v>
      </c>
      <c r="AA8" s="105">
        <v>0.2</v>
      </c>
      <c r="AB8" s="105"/>
      <c r="AC8" s="106">
        <v>-0.11</v>
      </c>
      <c r="AD8" s="106">
        <v>-0.1</v>
      </c>
      <c r="AL8" s="671" t="s">
        <v>33</v>
      </c>
      <c r="AM8" s="494" t="str">
        <f>AM4</f>
        <v>Q1</v>
      </c>
    </row>
    <row r="9" spans="1:39" x14ac:dyDescent="0.35">
      <c r="A9" s="679"/>
      <c r="B9" s="284" t="s">
        <v>483</v>
      </c>
      <c r="C9" s="101">
        <v>0.11</v>
      </c>
      <c r="D9" s="101">
        <v>7.0000000000000007E-2</v>
      </c>
      <c r="E9" s="101">
        <v>-0.1</v>
      </c>
      <c r="F9" s="101">
        <v>0.05</v>
      </c>
      <c r="G9" s="240">
        <v>0.02</v>
      </c>
      <c r="I9" s="101">
        <v>0.11</v>
      </c>
      <c r="J9" s="101">
        <v>0.11</v>
      </c>
      <c r="K9" s="101">
        <v>-0.1</v>
      </c>
      <c r="L9" s="101">
        <v>0.03</v>
      </c>
      <c r="N9" s="101">
        <v>0.03</v>
      </c>
      <c r="O9" s="101">
        <v>0.01</v>
      </c>
      <c r="Q9" s="101">
        <v>7.0000000000000007E-2</v>
      </c>
      <c r="R9" s="101">
        <v>0.73399999999999999</v>
      </c>
      <c r="S9" s="101"/>
      <c r="T9" s="101">
        <v>2.3709902370990132E-2</v>
      </c>
      <c r="V9" s="101">
        <v>0.12</v>
      </c>
      <c r="W9" s="101">
        <v>7.0000000000000007E-2</v>
      </c>
      <c r="Y9" s="107">
        <v>0.06</v>
      </c>
      <c r="Z9" s="107">
        <v>0</v>
      </c>
      <c r="AA9" s="107">
        <v>0.3</v>
      </c>
      <c r="AC9" s="101">
        <v>-0.1</v>
      </c>
      <c r="AD9" s="101">
        <v>-0.1</v>
      </c>
      <c r="AL9" s="671"/>
      <c r="AM9" s="494" t="str">
        <f t="shared" ref="AM9:AM23" si="0">AM5</f>
        <v>Q2</v>
      </c>
    </row>
    <row r="10" spans="1:39" x14ac:dyDescent="0.35">
      <c r="A10" s="679"/>
      <c r="B10" s="284" t="s">
        <v>484</v>
      </c>
      <c r="C10" s="101">
        <v>0.15</v>
      </c>
      <c r="D10" s="101">
        <v>0.23</v>
      </c>
      <c r="E10" s="101">
        <v>-0.04</v>
      </c>
      <c r="F10" s="101">
        <v>0.11</v>
      </c>
      <c r="G10" s="240">
        <v>0.1</v>
      </c>
      <c r="I10" s="101">
        <v>0.13</v>
      </c>
      <c r="J10" s="101">
        <v>0.18</v>
      </c>
      <c r="K10" s="101">
        <v>-0.06</v>
      </c>
      <c r="L10" s="101">
        <v>0.08</v>
      </c>
      <c r="N10" s="101">
        <v>0.12</v>
      </c>
      <c r="O10" s="101">
        <v>7.0000000000000007E-2</v>
      </c>
      <c r="Q10" s="101">
        <v>0.16</v>
      </c>
      <c r="R10" s="101">
        <v>0.73499999999999999</v>
      </c>
      <c r="S10" s="101"/>
      <c r="T10" s="101">
        <v>7.6040172166427444E-2</v>
      </c>
      <c r="V10" s="101">
        <v>0.17</v>
      </c>
      <c r="W10" s="101">
        <v>0.11</v>
      </c>
      <c r="Y10" s="107">
        <v>0.2</v>
      </c>
      <c r="Z10" s="107">
        <v>0.27</v>
      </c>
      <c r="AA10" s="107">
        <v>0.32</v>
      </c>
      <c r="AC10" s="101">
        <v>-0.06</v>
      </c>
      <c r="AD10" s="101">
        <v>-0.01</v>
      </c>
      <c r="AL10" s="671"/>
      <c r="AM10" s="494" t="str">
        <f t="shared" si="0"/>
        <v>Q3</v>
      </c>
    </row>
    <row r="11" spans="1:39" x14ac:dyDescent="0.35">
      <c r="A11" s="679"/>
      <c r="B11" s="284" t="s">
        <v>485</v>
      </c>
      <c r="C11" s="101">
        <v>0.12</v>
      </c>
      <c r="D11" s="101">
        <v>0.16</v>
      </c>
      <c r="E11" s="101">
        <v>-0.05</v>
      </c>
      <c r="F11" s="101">
        <v>7.0000000000000007E-2</v>
      </c>
      <c r="G11" s="240">
        <v>7.0000000000000007E-2</v>
      </c>
      <c r="I11" s="101">
        <v>0.14000000000000001</v>
      </c>
      <c r="J11" s="101">
        <v>0.21</v>
      </c>
      <c r="K11" s="101">
        <v>-0.03</v>
      </c>
      <c r="L11" s="101">
        <v>0.09</v>
      </c>
      <c r="N11" s="101">
        <v>0.06</v>
      </c>
      <c r="O11" s="101">
        <v>7.0000000000000007E-2</v>
      </c>
      <c r="Q11" s="101">
        <v>0.11</v>
      </c>
      <c r="R11" s="101">
        <v>0.75</v>
      </c>
      <c r="S11" s="101"/>
      <c r="T11" s="101">
        <v>9.8117421825143492E-2</v>
      </c>
      <c r="V11" s="101">
        <v>0.11</v>
      </c>
      <c r="W11" s="101">
        <v>0.14000000000000001</v>
      </c>
      <c r="Y11" s="107">
        <v>0.08</v>
      </c>
      <c r="Z11" s="107">
        <v>0.31</v>
      </c>
      <c r="AA11" s="107">
        <v>0.26</v>
      </c>
      <c r="AC11" s="101">
        <v>-0.09</v>
      </c>
      <c r="AD11" s="101">
        <v>-1E-3</v>
      </c>
      <c r="AL11" s="671"/>
      <c r="AM11" s="494" t="str">
        <f t="shared" si="0"/>
        <v>Q4</v>
      </c>
    </row>
    <row r="12" spans="1:39" ht="14" customHeight="1" x14ac:dyDescent="0.35">
      <c r="A12" s="670" t="s">
        <v>94</v>
      </c>
      <c r="B12" s="109" t="s">
        <v>486</v>
      </c>
      <c r="C12" s="106">
        <v>0.13</v>
      </c>
      <c r="D12" s="106">
        <v>0.15</v>
      </c>
      <c r="E12" s="106">
        <v>0.01</v>
      </c>
      <c r="F12" s="106">
        <v>0.12</v>
      </c>
      <c r="G12" s="239">
        <v>0.1</v>
      </c>
      <c r="H12" s="105"/>
      <c r="I12" s="106">
        <v>0.13</v>
      </c>
      <c r="J12" s="106">
        <v>0.17</v>
      </c>
      <c r="K12" s="106">
        <v>0.01</v>
      </c>
      <c r="L12" s="106">
        <v>0.1</v>
      </c>
      <c r="M12" s="105"/>
      <c r="N12" s="106">
        <v>0.08</v>
      </c>
      <c r="O12" s="106">
        <v>0.13</v>
      </c>
      <c r="P12" s="106"/>
      <c r="Q12" s="106">
        <v>0.13</v>
      </c>
      <c r="R12" s="106">
        <v>0.75600000000000001</v>
      </c>
      <c r="S12" s="106"/>
      <c r="T12" s="106">
        <v>0.11107715813598174</v>
      </c>
      <c r="U12" s="105"/>
      <c r="V12" s="106">
        <v>0.14000000000000001</v>
      </c>
      <c r="W12" s="106">
        <v>0.11</v>
      </c>
      <c r="X12" s="105"/>
      <c r="Y12" s="105">
        <v>0.09</v>
      </c>
      <c r="Z12" s="105">
        <v>0.19</v>
      </c>
      <c r="AA12" s="105">
        <v>0.37</v>
      </c>
      <c r="AB12" s="105"/>
      <c r="AC12" s="106">
        <v>0</v>
      </c>
      <c r="AD12" s="106">
        <v>0.02</v>
      </c>
      <c r="AL12" s="671" t="s">
        <v>94</v>
      </c>
      <c r="AM12" s="494" t="str">
        <f t="shared" si="0"/>
        <v>Q1</v>
      </c>
    </row>
    <row r="13" spans="1:39" x14ac:dyDescent="0.35">
      <c r="A13" s="670"/>
      <c r="B13" s="110" t="s">
        <v>487</v>
      </c>
      <c r="C13" s="101">
        <v>0.14000000000000001</v>
      </c>
      <c r="D13" s="101">
        <v>0.19</v>
      </c>
      <c r="E13" s="101">
        <v>0.01</v>
      </c>
      <c r="F13" s="101">
        <v>0.17</v>
      </c>
      <c r="G13" s="240">
        <v>0.13</v>
      </c>
      <c r="I13" s="101">
        <v>0.14000000000000001</v>
      </c>
      <c r="J13" s="101">
        <v>0.23</v>
      </c>
      <c r="K13" s="101">
        <v>0.01</v>
      </c>
      <c r="L13" s="101">
        <v>0.13</v>
      </c>
      <c r="N13" s="101">
        <v>0.11</v>
      </c>
      <c r="O13" s="101">
        <v>0.15</v>
      </c>
      <c r="Q13" s="101">
        <v>0.17</v>
      </c>
      <c r="R13" s="101">
        <v>0.76</v>
      </c>
      <c r="S13" s="101"/>
      <c r="T13" s="101">
        <v>0.12791401755979415</v>
      </c>
      <c r="V13" s="101">
        <v>0.12</v>
      </c>
      <c r="W13" s="101">
        <v>0.17</v>
      </c>
      <c r="Y13" s="107">
        <v>0.14000000000000001</v>
      </c>
      <c r="Z13" s="107">
        <v>0.28000000000000003</v>
      </c>
      <c r="AA13" s="107">
        <v>0.28999999999999998</v>
      </c>
      <c r="AC13" s="101">
        <v>-0.01</v>
      </c>
      <c r="AD13" s="101">
        <v>0.03</v>
      </c>
      <c r="AL13" s="671"/>
      <c r="AM13" s="494" t="str">
        <f t="shared" si="0"/>
        <v>Q2</v>
      </c>
    </row>
    <row r="14" spans="1:39" x14ac:dyDescent="0.35">
      <c r="A14" s="670"/>
      <c r="B14" s="110" t="s">
        <v>488</v>
      </c>
      <c r="C14" s="101">
        <v>0.12</v>
      </c>
      <c r="D14" s="101">
        <v>0.16</v>
      </c>
      <c r="E14" s="101">
        <v>-0.02</v>
      </c>
      <c r="F14" s="101">
        <v>0.15</v>
      </c>
      <c r="G14" s="240">
        <v>0.1</v>
      </c>
      <c r="I14" s="101">
        <v>0.13</v>
      </c>
      <c r="J14" s="101">
        <v>0.18</v>
      </c>
      <c r="K14" s="101">
        <v>-0.01</v>
      </c>
      <c r="L14" s="101">
        <v>0.11</v>
      </c>
      <c r="N14" s="101">
        <v>0.09</v>
      </c>
      <c r="O14" s="101">
        <v>0.11</v>
      </c>
      <c r="Q14" s="101">
        <v>0.15</v>
      </c>
      <c r="R14" s="101">
        <v>0.76400000000000001</v>
      </c>
      <c r="S14" s="101"/>
      <c r="T14" s="101">
        <v>0.11096296296296293</v>
      </c>
      <c r="V14" s="101">
        <v>0.13</v>
      </c>
      <c r="W14" s="101">
        <v>0.1</v>
      </c>
      <c r="Y14" s="107">
        <v>0.09</v>
      </c>
      <c r="Z14" s="107">
        <v>0.23</v>
      </c>
      <c r="AA14" s="107">
        <v>0.3</v>
      </c>
      <c r="AC14" s="101">
        <v>0</v>
      </c>
      <c r="AD14" s="101">
        <v>-0.06</v>
      </c>
      <c r="AL14" s="671"/>
      <c r="AM14" s="494" t="str">
        <f t="shared" si="0"/>
        <v>Q3</v>
      </c>
    </row>
    <row r="15" spans="1:39" x14ac:dyDescent="0.35">
      <c r="A15" s="670"/>
      <c r="B15" s="110" t="s">
        <v>489</v>
      </c>
      <c r="C15" s="101">
        <v>0.14000000000000001</v>
      </c>
      <c r="D15" s="101">
        <v>0.16</v>
      </c>
      <c r="E15" s="101">
        <v>0.05</v>
      </c>
      <c r="F15" s="101">
        <v>0.23</v>
      </c>
      <c r="G15" s="240">
        <v>0.15</v>
      </c>
      <c r="I15" s="101">
        <v>0.13</v>
      </c>
      <c r="J15" s="101">
        <v>0.14000000000000001</v>
      </c>
      <c r="K15" s="101">
        <v>0.04</v>
      </c>
      <c r="L15" s="101">
        <v>0.14000000000000001</v>
      </c>
      <c r="N15" s="101">
        <v>0.11</v>
      </c>
      <c r="O15" s="101">
        <v>0.2</v>
      </c>
      <c r="Q15" s="101">
        <v>0.18</v>
      </c>
      <c r="R15" s="101">
        <v>0.76</v>
      </c>
      <c r="S15" s="101"/>
      <c r="T15" s="101">
        <v>8.4410867354351327E-2</v>
      </c>
      <c r="V15" s="101">
        <v>0.13</v>
      </c>
      <c r="W15" s="101">
        <v>0.16</v>
      </c>
      <c r="Y15" s="107">
        <v>0.11</v>
      </c>
      <c r="Z15" s="107">
        <v>0.17</v>
      </c>
      <c r="AA15" s="107">
        <v>0.42</v>
      </c>
      <c r="AC15" s="101">
        <v>0.1</v>
      </c>
      <c r="AD15" s="101">
        <v>0</v>
      </c>
      <c r="AL15" s="671"/>
      <c r="AM15" s="494" t="str">
        <f t="shared" si="0"/>
        <v>Q4</v>
      </c>
    </row>
    <row r="16" spans="1:39" ht="14.25" customHeight="1" x14ac:dyDescent="0.35">
      <c r="A16" s="679" t="s">
        <v>141</v>
      </c>
      <c r="B16" s="283" t="s">
        <v>490</v>
      </c>
      <c r="C16" s="114">
        <v>7.0000000000000007E-2</v>
      </c>
      <c r="D16" s="114">
        <v>0.13</v>
      </c>
      <c r="E16" s="114">
        <v>0.03</v>
      </c>
      <c r="F16" s="114">
        <v>0.14000000000000001</v>
      </c>
      <c r="G16" s="241">
        <v>0.09</v>
      </c>
      <c r="H16" s="113"/>
      <c r="I16" s="106">
        <v>7.0000000000000007E-2</v>
      </c>
      <c r="J16" s="106">
        <v>0.13</v>
      </c>
      <c r="K16" s="106">
        <v>0.03</v>
      </c>
      <c r="L16" s="106">
        <v>0.09</v>
      </c>
      <c r="M16" s="105"/>
      <c r="N16" s="114">
        <v>0.08</v>
      </c>
      <c r="O16" s="114">
        <v>0.11</v>
      </c>
      <c r="P16" s="114"/>
      <c r="Q16" s="114">
        <v>0.11</v>
      </c>
      <c r="R16" s="114">
        <v>0.76</v>
      </c>
      <c r="S16" s="114"/>
      <c r="T16" s="106">
        <v>7.0000000000000007E-2</v>
      </c>
      <c r="U16" s="113"/>
      <c r="V16" s="114">
        <v>0.1</v>
      </c>
      <c r="W16" s="114">
        <v>0.01</v>
      </c>
      <c r="X16" s="113"/>
      <c r="Y16" s="105">
        <v>0.08</v>
      </c>
      <c r="Z16" s="105">
        <v>0.14000000000000001</v>
      </c>
      <c r="AA16" s="105">
        <v>0.28999999999999998</v>
      </c>
      <c r="AB16" s="113"/>
      <c r="AC16" s="106">
        <v>7.0000000000000007E-2</v>
      </c>
      <c r="AD16" s="106">
        <v>-0.02</v>
      </c>
      <c r="AL16" s="671" t="str">
        <f>A16</f>
        <v>FY19</v>
      </c>
      <c r="AM16" s="494" t="str">
        <f t="shared" si="0"/>
        <v>Q1</v>
      </c>
    </row>
    <row r="17" spans="1:39" x14ac:dyDescent="0.35">
      <c r="A17" s="679"/>
      <c r="B17" s="284" t="s">
        <v>491</v>
      </c>
      <c r="C17" s="101">
        <v>0.08</v>
      </c>
      <c r="D17" s="101">
        <v>0.15</v>
      </c>
      <c r="E17" s="101">
        <v>0.03</v>
      </c>
      <c r="F17" s="101">
        <v>0.1</v>
      </c>
      <c r="G17" s="240">
        <v>0.09</v>
      </c>
      <c r="I17" s="101">
        <v>0.08</v>
      </c>
      <c r="J17" s="101">
        <v>0.12</v>
      </c>
      <c r="K17" s="101">
        <v>0.03</v>
      </c>
      <c r="L17" s="101">
        <v>0.08</v>
      </c>
      <c r="N17" s="101">
        <v>0.09</v>
      </c>
      <c r="O17" s="101">
        <v>0.09</v>
      </c>
      <c r="Q17" s="101">
        <v>0.11</v>
      </c>
      <c r="R17" s="101">
        <v>0.77</v>
      </c>
      <c r="S17" s="101"/>
      <c r="T17" s="101">
        <v>7.0000000000000007E-2</v>
      </c>
      <c r="V17" s="101">
        <v>0.11</v>
      </c>
      <c r="W17" s="101">
        <v>0.01</v>
      </c>
      <c r="Y17" s="107">
        <v>0.05</v>
      </c>
      <c r="Z17" s="107">
        <v>0.32</v>
      </c>
      <c r="AA17" s="107">
        <v>0.26</v>
      </c>
      <c r="AC17" s="101">
        <v>0.04</v>
      </c>
      <c r="AD17" s="101">
        <v>0.03</v>
      </c>
      <c r="AL17" s="671"/>
      <c r="AM17" s="494" t="str">
        <f t="shared" si="0"/>
        <v>Q2</v>
      </c>
    </row>
    <row r="18" spans="1:39" x14ac:dyDescent="0.35">
      <c r="A18" s="679"/>
      <c r="B18" s="284" t="s">
        <v>492</v>
      </c>
      <c r="C18" s="101">
        <v>0.03</v>
      </c>
      <c r="D18" s="101">
        <v>0.06</v>
      </c>
      <c r="E18" s="101">
        <v>0.03</v>
      </c>
      <c r="F18" s="101">
        <v>0.09</v>
      </c>
      <c r="G18" s="240">
        <v>0.06</v>
      </c>
      <c r="I18" s="101">
        <v>0.02</v>
      </c>
      <c r="J18" s="101">
        <v>0.05</v>
      </c>
      <c r="K18" s="101">
        <v>0.02</v>
      </c>
      <c r="L18" s="101">
        <v>0.05</v>
      </c>
      <c r="N18" s="101">
        <v>0.05</v>
      </c>
      <c r="O18" s="101">
        <v>7.0000000000000007E-2</v>
      </c>
      <c r="Q18" s="101">
        <v>7.0000000000000007E-2</v>
      </c>
      <c r="R18" s="101">
        <v>0.76800000000000002</v>
      </c>
      <c r="S18" s="101"/>
      <c r="T18" s="101">
        <v>0.05</v>
      </c>
      <c r="V18" s="101">
        <v>0.06</v>
      </c>
      <c r="W18" s="101">
        <v>-0.04</v>
      </c>
      <c r="Y18" s="107">
        <v>0.03</v>
      </c>
      <c r="Z18" s="107">
        <v>0.14000000000000001</v>
      </c>
      <c r="AA18" s="107">
        <v>7.0000000000000007E-2</v>
      </c>
      <c r="AC18" s="101">
        <v>0.04</v>
      </c>
      <c r="AD18" s="101">
        <v>0.02</v>
      </c>
      <c r="AL18" s="671"/>
      <c r="AM18" s="494" t="str">
        <f t="shared" si="0"/>
        <v>Q3</v>
      </c>
    </row>
    <row r="19" spans="1:39" x14ac:dyDescent="0.35">
      <c r="A19" s="679"/>
      <c r="B19" s="284" t="s">
        <v>493</v>
      </c>
      <c r="C19" s="101">
        <v>-0.03</v>
      </c>
      <c r="D19" s="101">
        <v>0.02</v>
      </c>
      <c r="E19" s="101">
        <v>-0.02</v>
      </c>
      <c r="F19" s="101">
        <v>0.02</v>
      </c>
      <c r="G19" s="240">
        <v>0</v>
      </c>
      <c r="I19" s="101">
        <v>-0.02</v>
      </c>
      <c r="J19" s="101">
        <v>0.04</v>
      </c>
      <c r="K19" s="101">
        <v>-0.01</v>
      </c>
      <c r="L19" s="101">
        <v>0.01</v>
      </c>
      <c r="N19" s="101">
        <v>0</v>
      </c>
      <c r="O19" s="101">
        <v>0</v>
      </c>
      <c r="Q19" s="101">
        <v>0.01</v>
      </c>
      <c r="R19" s="101">
        <v>0.76500000000000001</v>
      </c>
      <c r="S19" s="101"/>
      <c r="T19" s="101">
        <v>0.04</v>
      </c>
      <c r="V19" s="101">
        <v>0.03</v>
      </c>
      <c r="W19" s="101">
        <v>-0.15</v>
      </c>
      <c r="Y19" s="107">
        <v>-0.02</v>
      </c>
      <c r="Z19" s="107">
        <v>0.11</v>
      </c>
      <c r="AA19" s="107">
        <v>0.04</v>
      </c>
      <c r="AC19" s="101">
        <v>-0.02</v>
      </c>
      <c r="AD19" s="101">
        <v>-0.02</v>
      </c>
      <c r="AL19" s="671"/>
      <c r="AM19" s="494" t="str">
        <f t="shared" si="0"/>
        <v>Q4</v>
      </c>
    </row>
    <row r="20" spans="1:39" ht="12.75" customHeight="1" x14ac:dyDescent="0.35">
      <c r="A20" s="670" t="s">
        <v>144</v>
      </c>
      <c r="B20" s="109" t="s">
        <v>579</v>
      </c>
      <c r="C20" s="116">
        <v>-0.02</v>
      </c>
      <c r="D20" s="116">
        <v>0</v>
      </c>
      <c r="E20" s="116">
        <v>-0.04</v>
      </c>
      <c r="F20" s="116">
        <v>0.04</v>
      </c>
      <c r="G20" s="242">
        <v>0</v>
      </c>
      <c r="H20" s="115"/>
      <c r="I20" s="106">
        <v>-0.03</v>
      </c>
      <c r="J20" s="106">
        <v>-0.02</v>
      </c>
      <c r="K20" s="106">
        <v>-0.05</v>
      </c>
      <c r="L20" s="106">
        <v>-0.01</v>
      </c>
      <c r="M20" s="105"/>
      <c r="N20" s="106">
        <v>0</v>
      </c>
      <c r="O20" s="106">
        <v>0</v>
      </c>
      <c r="P20" s="116"/>
      <c r="Q20" s="106">
        <v>0.01</v>
      </c>
      <c r="R20" s="106">
        <v>0.77</v>
      </c>
      <c r="S20" s="116"/>
      <c r="T20" s="106">
        <v>0.01</v>
      </c>
      <c r="U20" s="115"/>
      <c r="V20" s="116">
        <v>-0.01</v>
      </c>
      <c r="W20" s="116">
        <v>-0.03</v>
      </c>
      <c r="X20" s="115"/>
      <c r="Y20" s="105">
        <v>-0.02</v>
      </c>
      <c r="Z20" s="105">
        <v>0.05</v>
      </c>
      <c r="AA20" s="105">
        <v>-0.02</v>
      </c>
      <c r="AB20" s="115"/>
      <c r="AC20" s="106">
        <v>0</v>
      </c>
      <c r="AD20" s="106">
        <v>-0.08</v>
      </c>
      <c r="AL20" s="671" t="str">
        <f>A20</f>
        <v>FY20</v>
      </c>
      <c r="AM20" s="494" t="str">
        <f t="shared" si="0"/>
        <v>Q1</v>
      </c>
    </row>
    <row r="21" spans="1:39" x14ac:dyDescent="0.35">
      <c r="A21" s="670"/>
      <c r="B21" s="337" t="s">
        <v>603</v>
      </c>
      <c r="C21" s="101">
        <v>-7.0000000000000007E-2</v>
      </c>
      <c r="D21" s="101">
        <v>-0.09</v>
      </c>
      <c r="E21" s="101">
        <v>-0.04</v>
      </c>
      <c r="F21" s="101">
        <v>0.01</v>
      </c>
      <c r="G21" s="240">
        <v>-0.04</v>
      </c>
      <c r="H21" s="101"/>
      <c r="I21" s="101">
        <f>C21</f>
        <v>-7.0000000000000007E-2</v>
      </c>
      <c r="J21" s="101">
        <f t="shared" ref="J21:K21" si="1">D21</f>
        <v>-0.09</v>
      </c>
      <c r="K21" s="101">
        <f t="shared" si="1"/>
        <v>-0.04</v>
      </c>
      <c r="L21" s="101">
        <f>G21</f>
        <v>-0.04</v>
      </c>
      <c r="M21" s="101"/>
      <c r="N21" s="101">
        <v>-0.03</v>
      </c>
      <c r="O21" s="101">
        <v>-0.06</v>
      </c>
      <c r="Q21" s="101">
        <v>-0.05</v>
      </c>
      <c r="R21" s="101">
        <v>0.77</v>
      </c>
      <c r="S21" s="101"/>
      <c r="T21" s="101">
        <v>-0.02</v>
      </c>
      <c r="U21" s="101"/>
      <c r="V21" s="101">
        <v>-0.02</v>
      </c>
      <c r="W21" s="101">
        <v>-0.15</v>
      </c>
      <c r="X21" s="101"/>
      <c r="Y21" s="107">
        <v>-0.11</v>
      </c>
      <c r="Z21" s="107">
        <v>-0.1</v>
      </c>
      <c r="AA21" s="107">
        <v>-0.03</v>
      </c>
      <c r="AB21" s="101"/>
      <c r="AC21" s="101">
        <v>-0.01</v>
      </c>
      <c r="AD21" s="101">
        <v>-7.0000000000000007E-2</v>
      </c>
      <c r="AL21" s="671"/>
      <c r="AM21" s="494" t="str">
        <f t="shared" si="0"/>
        <v>Q2</v>
      </c>
    </row>
    <row r="22" spans="1:39" x14ac:dyDescent="0.35">
      <c r="A22" s="670"/>
      <c r="B22" s="110" t="s">
        <v>624</v>
      </c>
      <c r="C22" s="107">
        <v>-7.0000000000000007E-2</v>
      </c>
      <c r="D22" s="107">
        <v>-0.1</v>
      </c>
      <c r="E22" s="107">
        <v>-7.0000000000000007E-2</v>
      </c>
      <c r="F22" s="107">
        <v>-0.04</v>
      </c>
      <c r="G22" s="108">
        <v>-7.0000000000000007E-2</v>
      </c>
      <c r="I22" s="107">
        <v>-7.0000000000000007E-2</v>
      </c>
      <c r="J22" s="107">
        <v>-0.1</v>
      </c>
      <c r="K22" s="107">
        <v>-7.0000000000000007E-2</v>
      </c>
      <c r="L22" s="107">
        <v>-7.0000000000000007E-2</v>
      </c>
      <c r="N22" s="107">
        <v>-0.05</v>
      </c>
      <c r="O22" s="107">
        <v>-0.1</v>
      </c>
      <c r="Q22" s="107">
        <v>-7.0000000000000007E-2</v>
      </c>
      <c r="R22" s="107">
        <v>0.77</v>
      </c>
      <c r="T22" s="107">
        <v>-0.03</v>
      </c>
      <c r="V22" s="107">
        <v>-0.04</v>
      </c>
      <c r="W22" s="107">
        <v>-0.14000000000000001</v>
      </c>
      <c r="Y22" s="107">
        <v>-0.11</v>
      </c>
      <c r="Z22" s="107">
        <v>-0.13</v>
      </c>
      <c r="AA22" s="107">
        <v>0.04</v>
      </c>
      <c r="AC22" s="107">
        <v>-0.02</v>
      </c>
      <c r="AD22" s="107">
        <v>-0.14000000000000001</v>
      </c>
      <c r="AL22" s="671"/>
      <c r="AM22" s="494" t="str">
        <f t="shared" si="0"/>
        <v>Q3</v>
      </c>
    </row>
    <row r="23" spans="1:39" x14ac:dyDescent="0.35">
      <c r="A23" s="670"/>
      <c r="B23" s="110" t="s">
        <v>625</v>
      </c>
      <c r="C23" s="101">
        <v>-0.28000000000000003</v>
      </c>
      <c r="D23" s="101">
        <v>-0.33</v>
      </c>
      <c r="E23" s="101">
        <v>-0.42</v>
      </c>
      <c r="F23" s="101">
        <v>-0.31</v>
      </c>
      <c r="G23" s="240">
        <v>-0.34</v>
      </c>
      <c r="I23" s="101">
        <v>-0.28000000000000003</v>
      </c>
      <c r="J23" s="101">
        <v>-0.33</v>
      </c>
      <c r="K23" s="101">
        <v>-0.42</v>
      </c>
      <c r="L23" s="101">
        <v>-0.34</v>
      </c>
      <c r="N23" s="101">
        <v>-0.26</v>
      </c>
      <c r="O23" s="101">
        <v>-0.44</v>
      </c>
      <c r="Q23" s="101">
        <v>-0.31</v>
      </c>
      <c r="R23" s="101">
        <v>0.79</v>
      </c>
      <c r="S23" s="101"/>
      <c r="T23" s="101">
        <v>-0.1</v>
      </c>
      <c r="V23" s="101">
        <v>-0.18</v>
      </c>
      <c r="W23" s="101">
        <v>-0.52</v>
      </c>
      <c r="Y23" s="107">
        <v>-0.12</v>
      </c>
      <c r="Z23" s="107">
        <v>-0.72</v>
      </c>
      <c r="AA23" s="107">
        <v>-0.28999999999999998</v>
      </c>
      <c r="AC23" s="101">
        <v>-0.3</v>
      </c>
      <c r="AD23" s="101">
        <v>-0.57999999999999996</v>
      </c>
      <c r="AL23" s="671"/>
      <c r="AM23" s="494" t="str">
        <f t="shared" si="0"/>
        <v>Q4</v>
      </c>
    </row>
    <row r="24" spans="1:39" ht="14.25" customHeight="1" x14ac:dyDescent="0.35">
      <c r="A24" s="670" t="s">
        <v>147</v>
      </c>
      <c r="B24" s="666" t="s">
        <v>697</v>
      </c>
      <c r="C24" s="116">
        <v>-0.26</v>
      </c>
      <c r="D24" s="116">
        <v>-0.31</v>
      </c>
      <c r="E24" s="116">
        <v>-0.34</v>
      </c>
      <c r="F24" s="116">
        <v>-0.27</v>
      </c>
      <c r="G24" s="242">
        <v>-0.28999999999999998</v>
      </c>
      <c r="H24" s="115"/>
      <c r="I24" s="106">
        <v>-0.26</v>
      </c>
      <c r="J24" s="106">
        <v>-0.31</v>
      </c>
      <c r="K24" s="106">
        <v>-0.34</v>
      </c>
      <c r="L24" s="106">
        <v>-0.28999999999999998</v>
      </c>
      <c r="M24" s="105"/>
      <c r="N24" s="106">
        <v>-0.25</v>
      </c>
      <c r="O24" s="106">
        <v>-0.35</v>
      </c>
      <c r="P24" s="116"/>
      <c r="Q24" s="106">
        <v>-0.28000000000000003</v>
      </c>
      <c r="R24" s="106">
        <v>0.79</v>
      </c>
      <c r="S24" s="116"/>
      <c r="T24" s="106">
        <v>-0.17</v>
      </c>
      <c r="U24" s="115"/>
      <c r="V24" s="116">
        <v>-0.19</v>
      </c>
      <c r="W24" s="116">
        <v>-0.4</v>
      </c>
      <c r="X24" s="115"/>
      <c r="Y24" s="105">
        <v>-0.18</v>
      </c>
      <c r="Z24" s="105">
        <v>-0.53</v>
      </c>
      <c r="AA24" s="105">
        <v>-0.36</v>
      </c>
      <c r="AB24" s="115"/>
      <c r="AC24" s="106">
        <v>-0.28999999999999998</v>
      </c>
      <c r="AD24" s="106">
        <v>-0.41</v>
      </c>
      <c r="AL24" s="672" t="s">
        <v>147</v>
      </c>
      <c r="AM24" s="494" t="str">
        <f>AM20</f>
        <v>Q1</v>
      </c>
    </row>
    <row r="25" spans="1:39" x14ac:dyDescent="0.35">
      <c r="A25" s="670"/>
      <c r="B25" s="337" t="s">
        <v>700</v>
      </c>
      <c r="C25" s="107">
        <v>-0.19</v>
      </c>
      <c r="D25" s="107">
        <v>-0.2</v>
      </c>
      <c r="E25" s="107">
        <v>-0.2</v>
      </c>
      <c r="F25" s="107">
        <v>-0.16</v>
      </c>
      <c r="G25" s="108">
        <v>-0.19</v>
      </c>
      <c r="I25" s="107">
        <v>-0.19</v>
      </c>
      <c r="J25" s="107">
        <v>-0.2</v>
      </c>
      <c r="K25" s="107">
        <v>-0.2</v>
      </c>
      <c r="L25" s="107">
        <v>-0.19</v>
      </c>
      <c r="N25" s="107">
        <v>-0.13</v>
      </c>
      <c r="O25" s="107">
        <v>-0.26</v>
      </c>
      <c r="Q25" s="107">
        <v>-0.18</v>
      </c>
      <c r="R25" s="107">
        <v>0.77700000000000002</v>
      </c>
      <c r="T25" s="107">
        <v>-0.17</v>
      </c>
      <c r="V25" s="107">
        <v>-0.16</v>
      </c>
      <c r="W25" s="107">
        <v>-0.27</v>
      </c>
      <c r="Y25" s="107">
        <v>-0.08</v>
      </c>
      <c r="Z25" s="107">
        <v>-0.36</v>
      </c>
      <c r="AA25" s="107">
        <v>-0.31</v>
      </c>
      <c r="AC25" s="107">
        <v>-0.14000000000000001</v>
      </c>
      <c r="AD25" s="107">
        <v>-0.28999999999999998</v>
      </c>
      <c r="AL25" s="672"/>
      <c r="AM25" s="494" t="s">
        <v>475</v>
      </c>
    </row>
    <row r="26" spans="1:39" x14ac:dyDescent="0.35">
      <c r="A26" s="670"/>
      <c r="B26" s="337" t="s">
        <v>702</v>
      </c>
      <c r="C26" s="101">
        <v>-0.13</v>
      </c>
      <c r="D26" s="101">
        <v>-0.05</v>
      </c>
      <c r="E26" s="101">
        <v>-0.14000000000000001</v>
      </c>
      <c r="F26" s="101">
        <v>-0.08</v>
      </c>
      <c r="G26" s="240">
        <v>-0.1</v>
      </c>
      <c r="H26" s="101"/>
      <c r="I26" s="101">
        <v>-0.13</v>
      </c>
      <c r="J26" s="101">
        <v>-0.05</v>
      </c>
      <c r="K26" s="101">
        <v>-0.14000000000000001</v>
      </c>
      <c r="L26" s="101">
        <v>-0.1</v>
      </c>
      <c r="M26" s="101"/>
      <c r="N26" s="101">
        <v>-7.0000000000000007E-2</v>
      </c>
      <c r="O26" s="101">
        <v>-0.13</v>
      </c>
      <c r="Q26" s="101">
        <v>-8.2000000000000003E-2</v>
      </c>
      <c r="R26" s="101">
        <v>0.78</v>
      </c>
      <c r="S26" s="101"/>
      <c r="T26" s="101">
        <v>-0.11796141814389993</v>
      </c>
      <c r="U26" s="101"/>
      <c r="V26" s="101">
        <v>-0.14000000000000001</v>
      </c>
      <c r="W26" s="101">
        <v>-0.1</v>
      </c>
      <c r="X26" s="101"/>
      <c r="Y26" s="107">
        <v>-0.04</v>
      </c>
      <c r="Z26" s="107">
        <v>-0.01</v>
      </c>
      <c r="AA26" s="107">
        <v>-0.16</v>
      </c>
      <c r="AB26" s="101"/>
      <c r="AC26" s="101">
        <v>-0.12</v>
      </c>
      <c r="AD26" s="101">
        <v>-0.18</v>
      </c>
      <c r="AL26" s="672"/>
      <c r="AM26" s="494" t="s">
        <v>476</v>
      </c>
    </row>
    <row r="27" spans="1:39" x14ac:dyDescent="0.35">
      <c r="A27" s="670"/>
      <c r="B27" s="337" t="s">
        <v>703</v>
      </c>
      <c r="C27" s="101">
        <v>0.28000000000000003</v>
      </c>
      <c r="D27" s="101">
        <v>0.38</v>
      </c>
      <c r="E27" s="101">
        <v>0.48</v>
      </c>
      <c r="F27" s="101">
        <v>0.41</v>
      </c>
      <c r="G27" s="240">
        <v>0.39</v>
      </c>
      <c r="H27" s="101"/>
      <c r="I27" s="101">
        <v>0.28000000000000003</v>
      </c>
      <c r="J27" s="101">
        <v>0.38</v>
      </c>
      <c r="K27" s="101">
        <v>0.48</v>
      </c>
      <c r="L27" s="101">
        <v>0.39</v>
      </c>
      <c r="M27" s="101"/>
      <c r="N27" s="101">
        <v>0.24</v>
      </c>
      <c r="O27" s="101">
        <v>0.67</v>
      </c>
      <c r="Q27" s="101">
        <v>0.36799999999999999</v>
      </c>
      <c r="R27" s="101">
        <v>0.78100000000000003</v>
      </c>
      <c r="S27" s="101"/>
      <c r="T27" s="101">
        <v>0.04</v>
      </c>
      <c r="U27" s="101"/>
      <c r="V27" s="101">
        <v>0.05</v>
      </c>
      <c r="W27" s="101">
        <v>1.1399999999999999</v>
      </c>
      <c r="X27" s="101"/>
      <c r="Y27" s="107">
        <v>0.06</v>
      </c>
      <c r="Z27" s="101">
        <v>3.2</v>
      </c>
      <c r="AA27" s="107">
        <v>0.33</v>
      </c>
      <c r="AB27" s="101"/>
      <c r="AC27" s="101">
        <v>0.27</v>
      </c>
      <c r="AD27" s="101">
        <v>0.94</v>
      </c>
      <c r="AL27" s="672"/>
      <c r="AM27" s="494" t="s">
        <v>477</v>
      </c>
    </row>
    <row r="28" spans="1:39" ht="15" customHeight="1" x14ac:dyDescent="0.35">
      <c r="A28" s="668" t="s">
        <v>150</v>
      </c>
      <c r="B28" s="109" t="s">
        <v>708</v>
      </c>
      <c r="C28" s="116">
        <v>0.34</v>
      </c>
      <c r="D28" s="116">
        <v>0.39</v>
      </c>
      <c r="E28" s="116">
        <v>0.45</v>
      </c>
      <c r="F28" s="116">
        <v>0.45</v>
      </c>
      <c r="G28" s="242">
        <v>0.41</v>
      </c>
      <c r="H28" s="116"/>
      <c r="I28" s="106">
        <v>0.34</v>
      </c>
      <c r="J28" s="106">
        <v>0.39</v>
      </c>
      <c r="K28" s="106">
        <v>0.45</v>
      </c>
      <c r="L28" s="106">
        <v>0.41</v>
      </c>
      <c r="M28" s="106"/>
      <c r="N28" s="106">
        <v>0.26</v>
      </c>
      <c r="O28" s="106">
        <v>0.65</v>
      </c>
      <c r="P28" s="116"/>
      <c r="Q28" s="106">
        <v>0.40200000000000002</v>
      </c>
      <c r="R28" s="106">
        <v>0.77400000000000002</v>
      </c>
      <c r="S28" s="116"/>
      <c r="T28" s="106">
        <v>0.19</v>
      </c>
      <c r="U28" s="116"/>
      <c r="V28" s="116">
        <v>0.13</v>
      </c>
      <c r="W28" s="116">
        <v>0.95</v>
      </c>
      <c r="X28" s="116"/>
      <c r="Y28" s="105">
        <v>0.21</v>
      </c>
      <c r="Z28" s="105">
        <v>0.83</v>
      </c>
      <c r="AA28" s="105">
        <v>0.56000000000000005</v>
      </c>
      <c r="AB28" s="116"/>
      <c r="AC28" s="106">
        <v>0.28999999999999998</v>
      </c>
      <c r="AD28" s="106">
        <v>0.69</v>
      </c>
      <c r="AL28" s="672" t="s">
        <v>150</v>
      </c>
      <c r="AM28" s="494" t="str">
        <f>AM24</f>
        <v>Q1</v>
      </c>
    </row>
    <row r="29" spans="1:39" x14ac:dyDescent="0.35">
      <c r="A29" s="669"/>
      <c r="B29" s="337" t="s">
        <v>709</v>
      </c>
      <c r="C29" s="101">
        <v>0.31</v>
      </c>
      <c r="D29" s="101">
        <v>0.37</v>
      </c>
      <c r="E29" s="101">
        <v>0.33</v>
      </c>
      <c r="F29" s="101">
        <v>0.41</v>
      </c>
      <c r="G29" s="240">
        <v>0.37</v>
      </c>
      <c r="H29" s="101"/>
      <c r="I29" s="101">
        <v>0.31</v>
      </c>
      <c r="J29" s="101">
        <v>0.37</v>
      </c>
      <c r="K29" s="101">
        <v>0.33</v>
      </c>
      <c r="L29" s="101">
        <v>0.37</v>
      </c>
      <c r="M29" s="101"/>
      <c r="N29" s="101">
        <v>0.22</v>
      </c>
      <c r="O29" s="101">
        <v>0.61</v>
      </c>
      <c r="Q29" s="101">
        <v>0.377</v>
      </c>
      <c r="R29" s="101">
        <v>0.77400000000000002</v>
      </c>
      <c r="S29" s="101"/>
      <c r="T29" s="101">
        <v>0.26</v>
      </c>
      <c r="U29" s="101"/>
      <c r="V29" s="101">
        <v>0.15</v>
      </c>
      <c r="W29" s="101">
        <v>0.75</v>
      </c>
      <c r="X29" s="101"/>
      <c r="Y29" s="107">
        <v>0.22</v>
      </c>
      <c r="Z29" s="107">
        <v>0.68</v>
      </c>
      <c r="AA29" s="107">
        <v>0.57999999999999996</v>
      </c>
      <c r="AB29" s="101"/>
      <c r="AC29" s="101">
        <v>0.13</v>
      </c>
      <c r="AD29" s="101">
        <v>0.69</v>
      </c>
      <c r="AL29" s="672"/>
      <c r="AM29" s="494" t="s">
        <v>475</v>
      </c>
    </row>
    <row r="30" spans="1:39" x14ac:dyDescent="0.35">
      <c r="A30" s="669"/>
      <c r="B30" s="337" t="s">
        <v>723</v>
      </c>
      <c r="C30" s="101">
        <v>0.24</v>
      </c>
      <c r="D30" s="101">
        <v>0.32</v>
      </c>
      <c r="E30" s="101">
        <v>0.28999999999999998</v>
      </c>
      <c r="F30" s="101">
        <v>0.36</v>
      </c>
      <c r="G30" s="240">
        <v>0.32</v>
      </c>
      <c r="H30" s="101"/>
      <c r="I30" s="101">
        <v>0.24</v>
      </c>
      <c r="J30" s="101">
        <v>0.32</v>
      </c>
      <c r="K30" s="101">
        <v>0.28999999999999998</v>
      </c>
      <c r="L30" s="101">
        <v>0.32</v>
      </c>
      <c r="M30" s="101"/>
      <c r="N30" s="101">
        <v>0.21</v>
      </c>
      <c r="O30" s="101">
        <v>0.48</v>
      </c>
      <c r="Q30" s="101">
        <v>0.32</v>
      </c>
      <c r="R30" s="101">
        <v>0.78</v>
      </c>
      <c r="S30" s="101"/>
      <c r="T30" s="101">
        <v>0.27</v>
      </c>
      <c r="U30" s="101"/>
      <c r="V30" s="101">
        <v>0.09</v>
      </c>
      <c r="W30" s="101">
        <v>0.56999999999999995</v>
      </c>
      <c r="X30" s="101"/>
      <c r="Y30" s="107">
        <v>0.31</v>
      </c>
      <c r="Z30" s="107">
        <v>0.28000000000000003</v>
      </c>
      <c r="AA30" s="107">
        <v>0.43</v>
      </c>
      <c r="AB30" s="101"/>
      <c r="AC30" s="101">
        <v>0.13</v>
      </c>
      <c r="AD30" s="101">
        <v>0.59</v>
      </c>
      <c r="AL30" s="672"/>
      <c r="AM30" s="494" t="s">
        <v>476</v>
      </c>
    </row>
    <row r="31" spans="1:39" ht="14.5" customHeight="1" x14ac:dyDescent="0.35">
      <c r="A31" s="669"/>
      <c r="B31" s="110" t="s">
        <v>724</v>
      </c>
      <c r="C31" s="101">
        <v>0.12</v>
      </c>
      <c r="D31" s="101">
        <v>0.28999999999999998</v>
      </c>
      <c r="E31" s="101">
        <v>0.22</v>
      </c>
      <c r="F31" s="101">
        <v>0.24</v>
      </c>
      <c r="G31" s="240">
        <v>0.23</v>
      </c>
      <c r="H31" s="101"/>
      <c r="I31" s="101">
        <v>0.12</v>
      </c>
      <c r="J31" s="101">
        <v>0.28999999999999998</v>
      </c>
      <c r="K31" s="101">
        <v>0.22</v>
      </c>
      <c r="L31" s="101">
        <v>0.23</v>
      </c>
      <c r="M31" s="101"/>
      <c r="N31" s="101">
        <v>0.16</v>
      </c>
      <c r="O31" s="101">
        <v>0.31</v>
      </c>
      <c r="Q31" s="101">
        <v>0.23</v>
      </c>
      <c r="R31" s="101">
        <v>0.79</v>
      </c>
      <c r="S31" s="101"/>
      <c r="T31" s="101">
        <v>0.26</v>
      </c>
      <c r="U31" s="101"/>
      <c r="V31" s="101">
        <v>0.02</v>
      </c>
      <c r="W31" s="101">
        <v>0.33</v>
      </c>
      <c r="X31" s="101"/>
      <c r="Y31" s="107">
        <v>0.32</v>
      </c>
      <c r="Z31" s="107">
        <v>0.17</v>
      </c>
      <c r="AA31" s="107">
        <v>0.39</v>
      </c>
      <c r="AB31" s="101"/>
      <c r="AC31" s="101">
        <v>0.08</v>
      </c>
      <c r="AD31" s="101">
        <v>0.43</v>
      </c>
      <c r="AL31" s="672"/>
      <c r="AM31" s="494" t="s">
        <v>477</v>
      </c>
    </row>
    <row r="32" spans="1:39" x14ac:dyDescent="0.35">
      <c r="A32" s="670" t="s">
        <v>731</v>
      </c>
      <c r="B32" s="109" t="s">
        <v>733</v>
      </c>
      <c r="C32" s="116">
        <v>0.03</v>
      </c>
      <c r="D32" s="116">
        <v>0.26</v>
      </c>
      <c r="E32" s="116">
        <v>0.11</v>
      </c>
      <c r="F32" s="116">
        <v>0.16</v>
      </c>
      <c r="G32" s="242">
        <v>0.15</v>
      </c>
      <c r="H32" s="116"/>
      <c r="I32" s="106">
        <v>0.03</v>
      </c>
      <c r="J32" s="106">
        <v>0.26</v>
      </c>
      <c r="K32" s="106">
        <v>0.11</v>
      </c>
      <c r="L32" s="106">
        <v>0.15</v>
      </c>
      <c r="M32" s="106"/>
      <c r="N32" s="106">
        <v>0.14000000000000001</v>
      </c>
      <c r="O32" s="106">
        <v>0.16</v>
      </c>
      <c r="P32" s="116"/>
      <c r="Q32" s="106">
        <v>0.16</v>
      </c>
      <c r="R32" s="106">
        <v>0.79</v>
      </c>
      <c r="S32" s="116"/>
      <c r="T32" s="106">
        <v>0.19</v>
      </c>
      <c r="U32" s="116"/>
      <c r="V32" s="116">
        <v>-0.03</v>
      </c>
      <c r="W32" s="116">
        <v>0.14000000000000001</v>
      </c>
      <c r="X32" s="116"/>
      <c r="Y32" s="105">
        <v>0.28999999999999998</v>
      </c>
      <c r="Z32" s="105">
        <v>0.15</v>
      </c>
      <c r="AA32" s="105">
        <v>0.35</v>
      </c>
      <c r="AB32" s="116"/>
      <c r="AC32" s="106">
        <v>0.08</v>
      </c>
      <c r="AD32" s="106">
        <v>0.15</v>
      </c>
      <c r="AL32" s="672" t="str">
        <f>A32</f>
        <v>FY23</v>
      </c>
      <c r="AM32" s="494" t="s">
        <v>474</v>
      </c>
    </row>
    <row r="33" spans="1:39" x14ac:dyDescent="0.35">
      <c r="A33" s="670"/>
      <c r="B33" s="337" t="s">
        <v>734</v>
      </c>
      <c r="C33" s="107">
        <v>-0.04</v>
      </c>
      <c r="D33" s="107">
        <v>0.22</v>
      </c>
      <c r="E33" s="107">
        <v>0.04</v>
      </c>
      <c r="F33" s="107">
        <v>0.06</v>
      </c>
      <c r="G33" s="108">
        <v>0.08</v>
      </c>
      <c r="I33" s="107">
        <v>-0.04</v>
      </c>
      <c r="J33" s="107">
        <v>0.28000000000000003</v>
      </c>
      <c r="K33" s="107">
        <v>0.04</v>
      </c>
      <c r="L33" s="107">
        <v>0.06</v>
      </c>
      <c r="N33" s="107">
        <v>0.09</v>
      </c>
      <c r="O33" s="107">
        <v>7.0000000000000007E-2</v>
      </c>
      <c r="Q33" s="107">
        <v>0.09</v>
      </c>
      <c r="R33" s="107">
        <v>0.8</v>
      </c>
      <c r="T33" s="107">
        <v>0.1</v>
      </c>
      <c r="V33" s="107">
        <v>-0.06</v>
      </c>
      <c r="W33" s="107">
        <v>-0.01</v>
      </c>
      <c r="Y33" s="107">
        <v>0.26</v>
      </c>
      <c r="Z33" s="107">
        <v>0.05</v>
      </c>
      <c r="AA33" s="107">
        <v>0.32</v>
      </c>
      <c r="AC33" s="107">
        <v>0.02</v>
      </c>
      <c r="AD33" s="107">
        <v>0.05</v>
      </c>
      <c r="AL33" s="672"/>
      <c r="AM33" s="494" t="s">
        <v>475</v>
      </c>
    </row>
    <row r="34" spans="1:39" x14ac:dyDescent="0.35">
      <c r="A34" s="670"/>
      <c r="B34" s="337" t="s">
        <v>735</v>
      </c>
      <c r="C34" s="107">
        <v>-0.08</v>
      </c>
      <c r="D34" s="107">
        <v>0.23</v>
      </c>
      <c r="E34" s="107">
        <v>-0.02</v>
      </c>
      <c r="F34" s="107">
        <v>0.02</v>
      </c>
      <c r="G34" s="108">
        <v>0.05</v>
      </c>
      <c r="I34" s="107">
        <f>C34</f>
        <v>-0.08</v>
      </c>
      <c r="J34" s="107">
        <v>0.23</v>
      </c>
      <c r="K34" s="107">
        <v>-0.02</v>
      </c>
      <c r="L34" s="108">
        <v>0.05</v>
      </c>
      <c r="N34" s="107">
        <v>0.11</v>
      </c>
      <c r="O34" s="107">
        <v>-0.02</v>
      </c>
      <c r="Q34" s="107">
        <v>7.0000000000000007E-2</v>
      </c>
      <c r="R34" s="107">
        <v>0.8</v>
      </c>
      <c r="T34" s="107">
        <v>0.04</v>
      </c>
      <c r="V34" s="107">
        <v>-0.09</v>
      </c>
      <c r="W34" s="107">
        <v>-7.0000000000000007E-2</v>
      </c>
      <c r="Y34" s="107">
        <v>0.34</v>
      </c>
      <c r="Z34" s="107">
        <v>0.25</v>
      </c>
      <c r="AA34" s="107">
        <v>0.13</v>
      </c>
      <c r="AC34" s="107">
        <v>0.03</v>
      </c>
      <c r="AD34" s="107">
        <v>-0.08</v>
      </c>
    </row>
    <row r="35" spans="1:39" x14ac:dyDescent="0.35">
      <c r="A35" s="670"/>
      <c r="B35" s="337" t="s">
        <v>736</v>
      </c>
      <c r="C35" s="107">
        <v>-0.15</v>
      </c>
      <c r="D35" s="101">
        <v>0.11</v>
      </c>
      <c r="E35" s="101">
        <v>-7.0000000000000007E-2</v>
      </c>
      <c r="F35" s="101">
        <v>-0.04</v>
      </c>
      <c r="G35" s="240">
        <v>-0.02</v>
      </c>
      <c r="H35" s="101"/>
      <c r="I35" s="107">
        <f>C35</f>
        <v>-0.15</v>
      </c>
      <c r="J35" s="101">
        <v>0.13</v>
      </c>
      <c r="K35" s="107">
        <v>-7.0000000000000007E-2</v>
      </c>
      <c r="L35" s="240">
        <v>-0.02</v>
      </c>
      <c r="M35" s="101"/>
      <c r="N35" s="101">
        <v>0.04</v>
      </c>
      <c r="O35" s="101">
        <v>-0.09</v>
      </c>
      <c r="Q35" s="101">
        <v>-0.01</v>
      </c>
      <c r="R35" s="101">
        <v>0.8</v>
      </c>
      <c r="S35" s="101"/>
      <c r="T35" s="101">
        <v>-0.04</v>
      </c>
      <c r="U35" s="101"/>
      <c r="V35" s="107">
        <v>-0.09</v>
      </c>
      <c r="W35" s="107">
        <v>-0.22</v>
      </c>
      <c r="X35" s="101"/>
      <c r="Y35" s="107">
        <v>0.12</v>
      </c>
      <c r="Z35" s="107">
        <v>0.12</v>
      </c>
      <c r="AA35" s="107">
        <v>0.1</v>
      </c>
      <c r="AB35" s="101"/>
      <c r="AC35" s="101">
        <v>0</v>
      </c>
      <c r="AD35" s="101">
        <v>-0.15</v>
      </c>
    </row>
    <row r="36" spans="1:39" x14ac:dyDescent="0.35">
      <c r="A36" s="670" t="s">
        <v>747</v>
      </c>
      <c r="B36" s="109" t="s">
        <v>748</v>
      </c>
      <c r="C36" s="116">
        <v>-0.17</v>
      </c>
      <c r="D36" s="116">
        <v>7.0000000000000007E-2</v>
      </c>
      <c r="E36" s="116">
        <v>-0.11</v>
      </c>
      <c r="F36" s="116">
        <v>-0.11</v>
      </c>
      <c r="G36" s="242">
        <v>-7.0000000000000007E-2</v>
      </c>
      <c r="H36" s="116"/>
      <c r="I36" s="106">
        <v>-0.17</v>
      </c>
      <c r="J36" s="106">
        <v>0.08</v>
      </c>
      <c r="K36" s="106">
        <v>-0.11</v>
      </c>
      <c r="L36" s="106">
        <v>-7.0000000000000007E-2</v>
      </c>
      <c r="M36" s="106"/>
      <c r="N36" s="106">
        <v>0</v>
      </c>
      <c r="O36" s="106">
        <v>-0.15</v>
      </c>
      <c r="P36" s="116"/>
      <c r="Q36" s="106">
        <v>-0.06</v>
      </c>
      <c r="R36" s="106">
        <v>0.79</v>
      </c>
      <c r="S36" s="116"/>
      <c r="T36" s="106">
        <v>-0.09</v>
      </c>
      <c r="U36" s="116"/>
      <c r="V36" s="116">
        <v>-0.13</v>
      </c>
      <c r="W36" s="116">
        <v>-0.17</v>
      </c>
      <c r="X36" s="116"/>
      <c r="Y36" s="105">
        <v>0.06</v>
      </c>
      <c r="Z36" s="105">
        <v>0.12</v>
      </c>
      <c r="AA36" s="105">
        <v>0.02</v>
      </c>
      <c r="AB36" s="116"/>
      <c r="AC36" s="106">
        <v>-0.08</v>
      </c>
      <c r="AD36" s="106">
        <v>-0.14000000000000001</v>
      </c>
    </row>
    <row r="37" spans="1:39" x14ac:dyDescent="0.35">
      <c r="A37" s="670"/>
      <c r="B37" s="337" t="s">
        <v>749</v>
      </c>
      <c r="C37" s="107">
        <v>-0.2</v>
      </c>
      <c r="D37" s="107">
        <v>0</v>
      </c>
      <c r="E37" s="107">
        <v>-0.17</v>
      </c>
      <c r="F37" s="107">
        <v>-0.11</v>
      </c>
      <c r="G37" s="108">
        <v>-0.1</v>
      </c>
      <c r="I37" s="107">
        <v>-0.2</v>
      </c>
      <c r="J37" s="107">
        <v>0.02</v>
      </c>
      <c r="K37" s="107">
        <v>-0.17</v>
      </c>
      <c r="L37" s="107">
        <v>-0.1</v>
      </c>
      <c r="N37" s="107">
        <v>-0.05</v>
      </c>
      <c r="O37" s="107">
        <v>-0.17</v>
      </c>
      <c r="Q37" s="107">
        <v>-0.09</v>
      </c>
      <c r="R37" s="107">
        <v>0.8</v>
      </c>
      <c r="T37" s="107">
        <v>-0.12</v>
      </c>
      <c r="V37" s="107">
        <v>-0.17</v>
      </c>
      <c r="W37" s="107">
        <v>-0.25</v>
      </c>
      <c r="Y37" s="107">
        <v>-0.02</v>
      </c>
      <c r="Z37" s="107">
        <v>0.04</v>
      </c>
      <c r="AA37" s="107">
        <v>0.03</v>
      </c>
      <c r="AC37" s="107">
        <v>-0.14000000000000001</v>
      </c>
      <c r="AD37" s="107">
        <v>-0.2</v>
      </c>
    </row>
    <row r="38" spans="1:39" x14ac:dyDescent="0.35">
      <c r="A38" s="670"/>
      <c r="B38" s="337" t="s">
        <v>750</v>
      </c>
      <c r="C38" s="107">
        <v>-0.23</v>
      </c>
      <c r="D38" s="107">
        <v>-0.13</v>
      </c>
      <c r="E38" s="107">
        <v>-0.16</v>
      </c>
      <c r="F38" s="107">
        <v>-0.11</v>
      </c>
      <c r="G38" s="108">
        <v>-0.14000000000000001</v>
      </c>
      <c r="I38" s="107">
        <v>-0.23</v>
      </c>
      <c r="J38" s="107">
        <v>-0.13</v>
      </c>
      <c r="K38" s="107">
        <v>-0.16</v>
      </c>
      <c r="L38" s="107">
        <v>-0.14000000000000001</v>
      </c>
      <c r="N38" s="107">
        <v>-0.12</v>
      </c>
      <c r="O38" s="107">
        <v>-0.18</v>
      </c>
      <c r="Q38" s="107">
        <v>-0.14000000000000001</v>
      </c>
      <c r="R38" s="107">
        <v>0.8</v>
      </c>
      <c r="T38" s="107">
        <v>-0.16276978417266186</v>
      </c>
      <c r="V38" s="107">
        <v>-0.16</v>
      </c>
      <c r="W38" s="107">
        <v>-0.33</v>
      </c>
      <c r="Y38" s="107">
        <v>-0.19</v>
      </c>
      <c r="Z38" s="107">
        <v>-0.02</v>
      </c>
      <c r="AA38" s="107">
        <v>-0.05</v>
      </c>
      <c r="AC38" s="107">
        <v>-0.15</v>
      </c>
      <c r="AD38" s="107">
        <v>-0.18</v>
      </c>
    </row>
    <row r="39" spans="1:39" x14ac:dyDescent="0.35">
      <c r="A39" s="670"/>
      <c r="B39" s="337" t="s">
        <v>751</v>
      </c>
      <c r="C39" s="107">
        <v>-0.22</v>
      </c>
      <c r="D39" s="107">
        <v>-0.17</v>
      </c>
      <c r="E39" s="107">
        <v>-0.17</v>
      </c>
      <c r="F39" s="107">
        <v>-0.11</v>
      </c>
      <c r="G39" s="108">
        <v>-0.15</v>
      </c>
      <c r="I39" s="107">
        <v>-0.22</v>
      </c>
      <c r="J39" s="107">
        <v>-0.17</v>
      </c>
      <c r="K39" s="107">
        <v>-0.17</v>
      </c>
      <c r="L39" s="107">
        <v>-0.15</v>
      </c>
      <c r="N39" s="107">
        <v>-0.12</v>
      </c>
      <c r="O39" s="107">
        <v>-0.2</v>
      </c>
      <c r="Q39" s="107">
        <v>-0.15</v>
      </c>
      <c r="R39" s="107">
        <v>0.8</v>
      </c>
      <c r="T39" s="107">
        <v>-0.17949912638322651</v>
      </c>
      <c r="V39" s="107">
        <v>-0.16</v>
      </c>
      <c r="W39" s="107">
        <v>-0.32</v>
      </c>
      <c r="Y39" s="107">
        <v>-0.14000000000000001</v>
      </c>
      <c r="Z39" s="107">
        <v>-0.19</v>
      </c>
      <c r="AA39" s="107">
        <v>-0.2</v>
      </c>
      <c r="AC39" s="107">
        <v>-0.14000000000000001</v>
      </c>
      <c r="AD39" s="107">
        <v>-0.22</v>
      </c>
    </row>
    <row r="40" spans="1:39" ht="14.5" customHeight="1" x14ac:dyDescent="0.35">
      <c r="A40" s="670" t="s">
        <v>752</v>
      </c>
      <c r="B40" s="109" t="s">
        <v>753</v>
      </c>
      <c r="C40" s="107">
        <v>-0.2</v>
      </c>
      <c r="D40" s="107">
        <v>-0.13</v>
      </c>
      <c r="E40" s="107">
        <v>-0.2</v>
      </c>
      <c r="F40" s="107">
        <v>-0.09</v>
      </c>
      <c r="G40" s="108">
        <v>-0.14000000000000001</v>
      </c>
      <c r="I40" s="107">
        <v>-0.2</v>
      </c>
      <c r="J40" s="107">
        <v>-0.13</v>
      </c>
      <c r="K40" s="107">
        <v>-0.2</v>
      </c>
      <c r="L40" s="107">
        <v>-0.14000000000000001</v>
      </c>
      <c r="N40" s="107">
        <v>-0.1</v>
      </c>
      <c r="O40" s="107">
        <v>-0.2</v>
      </c>
      <c r="Q40" s="105">
        <v>-0.13</v>
      </c>
      <c r="R40" s="105">
        <v>0.80400000000000005</v>
      </c>
      <c r="T40" s="107">
        <v>-0.17943262411347516</v>
      </c>
      <c r="V40" s="105">
        <v>-0.13</v>
      </c>
      <c r="W40" s="105">
        <v>-0.32</v>
      </c>
      <c r="Y40" s="105">
        <v>-0.08</v>
      </c>
      <c r="Z40" s="105">
        <v>-0.23</v>
      </c>
      <c r="AA40" s="105">
        <v>-0.17</v>
      </c>
      <c r="AC40" s="105">
        <v>-0.16</v>
      </c>
      <c r="AD40" s="105">
        <v>-0.26</v>
      </c>
    </row>
    <row r="41" spans="1:39" x14ac:dyDescent="0.35">
      <c r="A41" s="670"/>
      <c r="B41" s="337" t="s">
        <v>754</v>
      </c>
      <c r="C41" s="107">
        <v>-0.14000000000000001</v>
      </c>
      <c r="D41" s="107">
        <v>-0.13</v>
      </c>
      <c r="E41" s="107">
        <v>-0.14000000000000001</v>
      </c>
      <c r="F41" s="107">
        <v>-0.09</v>
      </c>
      <c r="G41" s="108">
        <v>-0.12</v>
      </c>
      <c r="I41" s="107">
        <v>-0.14000000000000001</v>
      </c>
      <c r="J41" s="107">
        <v>-0.13</v>
      </c>
      <c r="K41" s="107">
        <v>-0.14000000000000001</v>
      </c>
      <c r="L41" s="107">
        <v>-0.12</v>
      </c>
      <c r="N41" s="107">
        <v>-7.0000000000000007E-2</v>
      </c>
      <c r="O41" s="107">
        <v>-0.19</v>
      </c>
      <c r="Q41" s="107">
        <v>-0.11</v>
      </c>
      <c r="R41" s="107">
        <v>0.80300000000000005</v>
      </c>
      <c r="T41" s="107">
        <v>-0.1530904116403432</v>
      </c>
      <c r="V41" s="107">
        <v>-0.09</v>
      </c>
      <c r="W41" s="107">
        <v>-0.23</v>
      </c>
      <c r="Y41" s="107">
        <v>-7.0000000000000007E-2</v>
      </c>
      <c r="Z41" s="107">
        <v>-0.17</v>
      </c>
      <c r="AA41" s="107">
        <v>-0.27</v>
      </c>
      <c r="AC41" s="107">
        <v>-0.11</v>
      </c>
      <c r="AD41" s="107">
        <v>-0.19</v>
      </c>
    </row>
    <row r="42" spans="1:39" x14ac:dyDescent="0.35">
      <c r="A42" s="670"/>
      <c r="B42" s="337" t="s">
        <v>755</v>
      </c>
      <c r="C42" s="107">
        <v>-0.11</v>
      </c>
      <c r="D42" s="107">
        <v>-0.09</v>
      </c>
      <c r="E42" s="107">
        <v>-0.13</v>
      </c>
      <c r="F42" s="107">
        <v>-7.0000000000000007E-2</v>
      </c>
      <c r="G42" s="108">
        <v>-0.09</v>
      </c>
      <c r="I42" s="107">
        <v>-0.11</v>
      </c>
      <c r="J42" s="107">
        <v>-0.09</v>
      </c>
      <c r="K42" s="107">
        <v>-0.13</v>
      </c>
      <c r="L42" s="107">
        <v>-0.09</v>
      </c>
      <c r="N42" s="107">
        <v>-0.06</v>
      </c>
      <c r="O42" s="107">
        <v>-0.14000000000000001</v>
      </c>
      <c r="Q42" s="107">
        <v>-0.08</v>
      </c>
      <c r="R42" s="107">
        <v>0.8</v>
      </c>
      <c r="T42" s="107">
        <v>-0.13278732545649841</v>
      </c>
      <c r="V42" s="107">
        <v>-0.06</v>
      </c>
      <c r="W42" s="107">
        <v>-0.2</v>
      </c>
      <c r="Y42" s="107">
        <v>0.01</v>
      </c>
      <c r="Z42" s="107">
        <v>-0.21</v>
      </c>
      <c r="AA42" s="107">
        <v>-0.21</v>
      </c>
      <c r="AC42" s="107">
        <v>-0.11</v>
      </c>
      <c r="AD42" s="107">
        <v>-0.16</v>
      </c>
    </row>
    <row r="43" spans="1:39" x14ac:dyDescent="0.35">
      <c r="A43" s="670"/>
      <c r="B43" s="337" t="s">
        <v>756</v>
      </c>
      <c r="C43" s="107">
        <v>-0.1</v>
      </c>
      <c r="D43" s="107">
        <v>-0.05</v>
      </c>
      <c r="E43" s="107">
        <v>-0.13</v>
      </c>
      <c r="F43" s="107">
        <v>-0.09</v>
      </c>
      <c r="G43" s="108">
        <v>-0.09</v>
      </c>
      <c r="I43" s="107">
        <v>-0.1</v>
      </c>
      <c r="J43" s="107">
        <v>-0.05</v>
      </c>
      <c r="K43" s="107">
        <v>-0.13</v>
      </c>
      <c r="L43" s="107">
        <v>-0.09</v>
      </c>
      <c r="N43" s="107">
        <v>-0.05</v>
      </c>
      <c r="O43" s="107">
        <v>-0.14000000000000001</v>
      </c>
      <c r="Q43" s="107">
        <v>-0.08</v>
      </c>
      <c r="R43" s="107">
        <v>0.8</v>
      </c>
      <c r="T43" s="107">
        <v>-0.1382737081203862</v>
      </c>
      <c r="V43" s="107">
        <v>-0.06</v>
      </c>
      <c r="W43" s="107">
        <v>-0.16</v>
      </c>
      <c r="Y43" s="107">
        <v>7.0000000000000007E-2</v>
      </c>
      <c r="Z43" s="107">
        <v>-0.24</v>
      </c>
      <c r="AA43" s="107">
        <v>-0.19</v>
      </c>
      <c r="AC43" s="107">
        <v>-0.13</v>
      </c>
      <c r="AD43" s="107">
        <v>-0.12</v>
      </c>
    </row>
  </sheetData>
  <mergeCells count="23">
    <mergeCell ref="A40:A43"/>
    <mergeCell ref="AL3:AM3"/>
    <mergeCell ref="A3:B3"/>
    <mergeCell ref="A36:A39"/>
    <mergeCell ref="T1:T2"/>
    <mergeCell ref="C1:G1"/>
    <mergeCell ref="I1:L1"/>
    <mergeCell ref="A24:A27"/>
    <mergeCell ref="A8:A11"/>
    <mergeCell ref="A12:A15"/>
    <mergeCell ref="A16:A19"/>
    <mergeCell ref="A20:A23"/>
    <mergeCell ref="AL32:AL33"/>
    <mergeCell ref="AL28:AL31"/>
    <mergeCell ref="A4:A7"/>
    <mergeCell ref="AL4:AL7"/>
    <mergeCell ref="A28:A31"/>
    <mergeCell ref="A32:A35"/>
    <mergeCell ref="AL8:AL11"/>
    <mergeCell ref="AL12:AL15"/>
    <mergeCell ref="AL16:AL19"/>
    <mergeCell ref="AL20:AL23"/>
    <mergeCell ref="AL24:AL27"/>
  </mergeCells>
  <phoneticPr fontId="9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78A74-44A4-4E56-A6C6-DFD54B7891C6}">
  <sheetPr codeName="Sheet2">
    <tabColor theme="4"/>
  </sheetPr>
  <dimension ref="A1:AZ253"/>
  <sheetViews>
    <sheetView zoomScale="85" zoomScaleNormal="85" workbookViewId="0">
      <pane xSplit="2" topLeftCell="AG1" activePane="topRight" state="frozen"/>
      <selection pane="topRight" activeCell="AZ6" sqref="AZ6"/>
    </sheetView>
  </sheetViews>
  <sheetFormatPr defaultColWidth="9.1796875" defaultRowHeight="14" outlineLevelCol="1" x14ac:dyDescent="0.3"/>
  <cols>
    <col min="1" max="1" width="2.81640625" style="1" customWidth="1"/>
    <col min="2" max="2" width="46.81640625" style="1" customWidth="1"/>
    <col min="3" max="3" width="8.54296875" style="1" customWidth="1"/>
    <col min="4" max="4" width="7.81640625" style="1" customWidth="1"/>
    <col min="5" max="19" width="7.81640625" style="1" customWidth="1" outlineLevel="1"/>
    <col min="20" max="20" width="8.81640625" style="2" customWidth="1" outlineLevel="1" collapsed="1"/>
    <col min="21" max="21" width="8.81640625" style="2" customWidth="1" outlineLevel="1"/>
    <col min="22" max="22" width="9.81640625" style="20" customWidth="1" outlineLevel="1"/>
    <col min="23" max="23" width="8.81640625" style="2" customWidth="1" outlineLevel="1"/>
    <col min="24" max="24" width="8.81640625" style="288" customWidth="1" outlineLevel="1"/>
    <col min="25" max="25" width="9.81640625" style="347" customWidth="1" outlineLevel="1"/>
    <col min="26" max="27" width="8.81640625" style="288" customWidth="1" outlineLevel="1"/>
    <col min="28" max="28" width="9.81640625" style="347" customWidth="1" outlineLevel="1"/>
    <col min="29" max="30" width="8.81640625" style="288" customWidth="1" outlineLevel="1"/>
    <col min="31" max="31" width="9.81640625" style="347" customWidth="1" outlineLevel="1"/>
    <col min="32" max="32" width="8.81640625" style="288" customWidth="1" outlineLevel="1"/>
    <col min="33" max="33" width="8.81640625" style="289" customWidth="1" outlineLevel="1"/>
    <col min="34" max="34" width="9.1796875" style="289" customWidth="1" outlineLevel="1"/>
    <col min="35" max="35" width="8.81640625" style="288" customWidth="1"/>
    <col min="36" max="36" width="8.81640625" style="289" customWidth="1"/>
    <col min="37" max="37" width="9.1796875" style="289"/>
    <col min="38" max="38" width="8.81640625" style="288" customWidth="1"/>
    <col min="39" max="39" width="8.81640625" style="289" customWidth="1"/>
    <col min="40" max="40" width="9.1796875" style="289" customWidth="1"/>
    <col min="41" max="41" width="8.81640625" style="288" customWidth="1"/>
    <col min="42" max="42" width="8.81640625" style="289" customWidth="1"/>
    <col min="43" max="43" width="9.1796875" style="289" customWidth="1"/>
    <col min="44" max="45" width="8.81640625" style="288" customWidth="1"/>
    <col min="46" max="46" width="9.1796875" style="289"/>
    <col min="47" max="47" width="9.36328125" style="288" customWidth="1"/>
    <col min="48" max="48" width="9.1796875" style="1"/>
    <col min="49" max="49" width="9.1796875" style="289"/>
    <col min="50" max="51" width="9.1796875" style="1"/>
    <col min="52" max="52" width="9.1796875" style="289"/>
    <col min="53" max="16384" width="9.1796875" style="1"/>
  </cols>
  <sheetData>
    <row r="1" spans="1:52" x14ac:dyDescent="0.3">
      <c r="C1" s="11" t="str">
        <f>Database!C1</f>
        <v>Year-end:</v>
      </c>
      <c r="D1" s="274" t="str">
        <f>Database!D1</f>
        <v>June</v>
      </c>
      <c r="E1" s="274"/>
      <c r="F1" s="274"/>
      <c r="G1" s="274"/>
      <c r="H1" s="274"/>
      <c r="I1" s="274"/>
      <c r="J1" s="274"/>
      <c r="K1" s="274"/>
      <c r="L1" s="274"/>
      <c r="M1" s="274"/>
      <c r="N1" s="274"/>
      <c r="O1" s="274"/>
      <c r="P1" s="274"/>
      <c r="Q1" s="274"/>
      <c r="R1" s="274"/>
      <c r="S1" s="274"/>
      <c r="V1" s="3"/>
      <c r="Y1" s="287"/>
      <c r="AB1" s="287"/>
      <c r="AE1" s="287"/>
      <c r="AH1" s="290"/>
      <c r="AK1" s="290"/>
      <c r="AN1" s="290"/>
      <c r="AQ1" s="290"/>
      <c r="AT1" s="290"/>
      <c r="AW1" s="290"/>
      <c r="AZ1" s="290"/>
    </row>
    <row r="2" spans="1:52" x14ac:dyDescent="0.3">
      <c r="C2" s="11" t="str">
        <f>Database!C2</f>
        <v>Ticker:</v>
      </c>
      <c r="D2" s="274" t="str">
        <f>Database!D2</f>
        <v>HAS-LN</v>
      </c>
      <c r="E2" s="274"/>
      <c r="F2" s="274"/>
      <c r="G2" s="274"/>
      <c r="H2" s="274"/>
      <c r="I2" s="274"/>
      <c r="J2" s="274"/>
      <c r="K2" s="274"/>
      <c r="L2" s="274"/>
      <c r="M2" s="274"/>
      <c r="N2" s="274"/>
      <c r="O2" s="274"/>
      <c r="P2" s="274"/>
      <c r="Q2" s="274"/>
      <c r="R2" s="274"/>
      <c r="S2" s="274"/>
      <c r="V2" s="3"/>
      <c r="Y2" s="287"/>
      <c r="AB2" s="287"/>
      <c r="AE2" s="287"/>
      <c r="AH2" s="290"/>
      <c r="AK2" s="290"/>
      <c r="AN2" s="290"/>
      <c r="AQ2" s="290"/>
      <c r="AT2" s="290"/>
      <c r="AW2" s="290"/>
      <c r="AZ2" s="290"/>
    </row>
    <row r="3" spans="1:52" x14ac:dyDescent="0.3">
      <c r="C3" s="11" t="str">
        <f>Database!C3</f>
        <v>Balance:</v>
      </c>
      <c r="D3" s="274" t="str">
        <f>Database!D3</f>
        <v>OK</v>
      </c>
      <c r="E3" s="274"/>
      <c r="F3" s="274"/>
      <c r="G3" s="274"/>
      <c r="H3" s="274"/>
      <c r="I3" s="274"/>
      <c r="J3" s="274"/>
      <c r="K3" s="274"/>
      <c r="L3" s="274"/>
      <c r="M3" s="274"/>
      <c r="N3" s="274"/>
      <c r="O3" s="274"/>
      <c r="P3" s="274"/>
      <c r="Q3" s="274"/>
      <c r="R3" s="274"/>
      <c r="S3" s="274"/>
      <c r="V3" s="3"/>
      <c r="Y3" s="287"/>
      <c r="AB3" s="287"/>
      <c r="AE3" s="287"/>
      <c r="AH3" s="290"/>
      <c r="AK3" s="290"/>
      <c r="AN3" s="290"/>
      <c r="AQ3" s="290"/>
      <c r="AT3" s="290"/>
      <c r="AW3" s="290"/>
      <c r="AZ3" s="290"/>
    </row>
    <row r="4" spans="1:52" x14ac:dyDescent="0.3">
      <c r="C4" s="11" t="str">
        <f>Database!C4</f>
        <v>Version:</v>
      </c>
      <c r="D4" s="11">
        <f>Database!$D$4</f>
        <v>2025.08</v>
      </c>
      <c r="E4" s="11"/>
      <c r="F4" s="11"/>
      <c r="G4" s="11"/>
      <c r="H4" s="11"/>
      <c r="I4" s="11"/>
      <c r="J4" s="11"/>
      <c r="K4" s="11"/>
      <c r="L4" s="11"/>
      <c r="M4" s="11"/>
      <c r="N4" s="11"/>
      <c r="O4" s="11"/>
      <c r="P4" s="11"/>
      <c r="Q4" s="11"/>
      <c r="R4" s="11"/>
      <c r="S4" s="11"/>
      <c r="V4" s="3"/>
      <c r="Y4" s="287"/>
      <c r="AB4" s="287"/>
      <c r="AE4" s="287"/>
      <c r="AH4" s="290"/>
      <c r="AK4" s="290"/>
      <c r="AN4" s="290"/>
      <c r="AQ4" s="290"/>
      <c r="AT4" s="290"/>
      <c r="AW4" s="290"/>
      <c r="AZ4" s="290"/>
    </row>
    <row r="5" spans="1:52" s="17" customFormat="1" ht="15" customHeight="1" x14ac:dyDescent="0.3">
      <c r="A5" s="451"/>
      <c r="B5" s="452"/>
      <c r="C5" s="452"/>
      <c r="D5" s="452"/>
      <c r="E5" s="452"/>
      <c r="F5" s="452"/>
      <c r="G5" s="452"/>
      <c r="H5" s="452"/>
      <c r="I5" s="452"/>
      <c r="J5" s="452"/>
      <c r="K5" s="452"/>
      <c r="L5" s="452"/>
      <c r="M5" s="452"/>
      <c r="N5" s="452"/>
      <c r="O5" s="452"/>
      <c r="P5" s="452"/>
      <c r="Q5" s="452"/>
      <c r="R5" s="452"/>
      <c r="S5" s="452"/>
      <c r="T5" s="453" t="s">
        <v>53</v>
      </c>
      <c r="U5" s="453" t="s">
        <v>54</v>
      </c>
      <c r="V5" s="454" t="s">
        <v>35</v>
      </c>
      <c r="W5" s="453" t="s">
        <v>55</v>
      </c>
      <c r="X5" s="455" t="s">
        <v>56</v>
      </c>
      <c r="Y5" s="456" t="s">
        <v>34</v>
      </c>
      <c r="Z5" s="455" t="s">
        <v>57</v>
      </c>
      <c r="AA5" s="455" t="s">
        <v>58</v>
      </c>
      <c r="AB5" s="456" t="s">
        <v>33</v>
      </c>
      <c r="AC5" s="455" t="s">
        <v>92</v>
      </c>
      <c r="AD5" s="455" t="s">
        <v>93</v>
      </c>
      <c r="AE5" s="456" t="s">
        <v>94</v>
      </c>
      <c r="AF5" s="455" t="s">
        <v>95</v>
      </c>
      <c r="AG5" s="455" t="s">
        <v>140</v>
      </c>
      <c r="AH5" s="456" t="s">
        <v>141</v>
      </c>
      <c r="AI5" s="455" t="s">
        <v>142</v>
      </c>
      <c r="AJ5" s="455" t="s">
        <v>143</v>
      </c>
      <c r="AK5" s="456" t="s">
        <v>144</v>
      </c>
      <c r="AL5" s="455" t="s">
        <v>145</v>
      </c>
      <c r="AM5" s="455" t="s">
        <v>146</v>
      </c>
      <c r="AN5" s="456" t="s">
        <v>147</v>
      </c>
      <c r="AO5" s="455" t="s">
        <v>148</v>
      </c>
      <c r="AP5" s="455" t="s">
        <v>149</v>
      </c>
      <c r="AQ5" s="456" t="s">
        <v>150</v>
      </c>
      <c r="AR5" s="455" t="s">
        <v>744</v>
      </c>
      <c r="AS5" s="455" t="s">
        <v>745</v>
      </c>
      <c r="AT5" s="456" t="s">
        <v>731</v>
      </c>
      <c r="AU5" s="455" t="s">
        <v>746</v>
      </c>
      <c r="AV5" s="455" t="s">
        <v>758</v>
      </c>
      <c r="AW5" s="456" t="s">
        <v>747</v>
      </c>
      <c r="AX5" s="455" t="s">
        <v>759</v>
      </c>
      <c r="AY5" s="455" t="s">
        <v>760</v>
      </c>
      <c r="AZ5" s="456" t="s">
        <v>752</v>
      </c>
    </row>
    <row r="6" spans="1:52" s="17" customFormat="1" ht="15" customHeight="1" x14ac:dyDescent="0.3">
      <c r="A6" s="451"/>
      <c r="B6" s="204" t="s">
        <v>604</v>
      </c>
      <c r="C6" s="200"/>
      <c r="D6" s="200"/>
      <c r="E6" s="200"/>
      <c r="F6" s="200"/>
      <c r="G6" s="200"/>
      <c r="H6" s="200"/>
      <c r="I6" s="200"/>
      <c r="J6" s="200"/>
      <c r="K6" s="200"/>
      <c r="L6" s="200"/>
      <c r="M6" s="200"/>
      <c r="N6" s="200"/>
      <c r="O6" s="200"/>
      <c r="P6" s="200"/>
      <c r="Q6" s="200"/>
      <c r="R6" s="200"/>
      <c r="S6" s="200"/>
      <c r="T6" s="201" t="str">
        <f t="shared" ref="T6:AZ6" si="0">T$5</f>
        <v>H1 15</v>
      </c>
      <c r="U6" s="201" t="str">
        <f t="shared" si="0"/>
        <v>H2 15</v>
      </c>
      <c r="V6" s="202" t="str">
        <f t="shared" si="0"/>
        <v>FY15</v>
      </c>
      <c r="W6" s="201" t="str">
        <f t="shared" si="0"/>
        <v>H1 16</v>
      </c>
      <c r="X6" s="277" t="str">
        <f t="shared" si="0"/>
        <v>H2 16</v>
      </c>
      <c r="Y6" s="278" t="str">
        <f t="shared" si="0"/>
        <v>FY16</v>
      </c>
      <c r="Z6" s="277" t="str">
        <f t="shared" si="0"/>
        <v>H1 17</v>
      </c>
      <c r="AA6" s="277" t="str">
        <f t="shared" si="0"/>
        <v>H2 17</v>
      </c>
      <c r="AB6" s="278" t="str">
        <f t="shared" si="0"/>
        <v>FY17</v>
      </c>
      <c r="AC6" s="277" t="str">
        <f t="shared" si="0"/>
        <v>H1 18</v>
      </c>
      <c r="AD6" s="277" t="str">
        <f t="shared" si="0"/>
        <v>H2 18</v>
      </c>
      <c r="AE6" s="278" t="str">
        <f t="shared" si="0"/>
        <v>FY18</v>
      </c>
      <c r="AF6" s="277" t="str">
        <f t="shared" si="0"/>
        <v>H1 19</v>
      </c>
      <c r="AG6" s="277" t="str">
        <f t="shared" si="0"/>
        <v>H2 19</v>
      </c>
      <c r="AH6" s="278" t="str">
        <f t="shared" si="0"/>
        <v>FY19</v>
      </c>
      <c r="AI6" s="277" t="str">
        <f t="shared" si="0"/>
        <v>H1 20</v>
      </c>
      <c r="AJ6" s="277" t="str">
        <f t="shared" si="0"/>
        <v>H2 20</v>
      </c>
      <c r="AK6" s="278" t="str">
        <f t="shared" si="0"/>
        <v>FY20</v>
      </c>
      <c r="AL6" s="277" t="str">
        <f t="shared" si="0"/>
        <v>H1 21</v>
      </c>
      <c r="AM6" s="277" t="str">
        <f t="shared" si="0"/>
        <v>H2 21</v>
      </c>
      <c r="AN6" s="278" t="str">
        <f t="shared" si="0"/>
        <v>FY21</v>
      </c>
      <c r="AO6" s="277" t="str">
        <f t="shared" si="0"/>
        <v>H1 22</v>
      </c>
      <c r="AP6" s="277" t="str">
        <f t="shared" si="0"/>
        <v>H2 22</v>
      </c>
      <c r="AQ6" s="278" t="str">
        <f t="shared" si="0"/>
        <v>FY22</v>
      </c>
      <c r="AR6" s="277" t="str">
        <f t="shared" si="0"/>
        <v>H1 23</v>
      </c>
      <c r="AS6" s="277" t="str">
        <f t="shared" si="0"/>
        <v>H2 23</v>
      </c>
      <c r="AT6" s="278" t="str">
        <f t="shared" si="0"/>
        <v>FY23</v>
      </c>
      <c r="AU6" s="277" t="str">
        <f t="shared" si="0"/>
        <v>H1 24</v>
      </c>
      <c r="AV6" s="277" t="str">
        <f t="shared" si="0"/>
        <v>H2 24</v>
      </c>
      <c r="AW6" s="278" t="str">
        <f t="shared" si="0"/>
        <v>FY24</v>
      </c>
      <c r="AX6" s="277" t="str">
        <f t="shared" si="0"/>
        <v>H1 25</v>
      </c>
      <c r="AY6" s="277" t="str">
        <f t="shared" si="0"/>
        <v>H2 25</v>
      </c>
      <c r="AZ6" s="278" t="str">
        <f t="shared" si="0"/>
        <v>FY25</v>
      </c>
    </row>
    <row r="7" spans="1:52" x14ac:dyDescent="0.3">
      <c r="A7" s="12"/>
      <c r="T7" s="11"/>
      <c r="U7" s="11"/>
      <c r="V7" s="471"/>
      <c r="W7" s="11"/>
      <c r="X7" s="274"/>
      <c r="Y7" s="471"/>
      <c r="Z7" s="274"/>
      <c r="AA7" s="274"/>
      <c r="AB7" s="480"/>
      <c r="AC7" s="274"/>
      <c r="AD7" s="274"/>
      <c r="AE7" s="480"/>
      <c r="AF7" s="274"/>
      <c r="AG7" s="274"/>
      <c r="AH7" s="480"/>
      <c r="AI7" s="274"/>
      <c r="AJ7" s="274"/>
      <c r="AK7" s="480"/>
      <c r="AL7" s="274"/>
      <c r="AM7" s="274"/>
      <c r="AN7" s="480"/>
      <c r="AO7" s="274"/>
      <c r="AP7" s="274"/>
      <c r="AQ7" s="480"/>
      <c r="AR7" s="274"/>
      <c r="AS7" s="274"/>
      <c r="AT7" s="480"/>
      <c r="AU7" s="274"/>
      <c r="AV7" s="274"/>
      <c r="AW7" s="480"/>
      <c r="AX7" s="274"/>
      <c r="AY7" s="274"/>
      <c r="AZ7" s="480"/>
    </row>
    <row r="8" spans="1:52" s="138" customFormat="1" x14ac:dyDescent="0.3">
      <c r="A8" s="35"/>
      <c r="B8" s="487" t="s">
        <v>108</v>
      </c>
      <c r="C8" s="487"/>
      <c r="D8" s="487"/>
      <c r="E8" s="487"/>
      <c r="F8" s="487"/>
      <c r="G8" s="487"/>
      <c r="H8" s="487"/>
      <c r="I8" s="487"/>
      <c r="J8" s="487"/>
      <c r="K8" s="487"/>
      <c r="L8" s="487"/>
      <c r="M8" s="487"/>
      <c r="N8" s="487"/>
      <c r="O8" s="487"/>
      <c r="P8" s="487"/>
      <c r="Q8" s="487"/>
      <c r="R8" s="487"/>
      <c r="S8" s="487"/>
      <c r="T8" s="487"/>
      <c r="U8" s="487"/>
      <c r="V8" s="488"/>
      <c r="W8" s="487"/>
      <c r="X8" s="489"/>
      <c r="Y8" s="488"/>
      <c r="Z8" s="489"/>
      <c r="AA8" s="489"/>
      <c r="AB8" s="490"/>
      <c r="AC8" s="489"/>
      <c r="AD8" s="489"/>
      <c r="AE8" s="490"/>
      <c r="AF8" s="489"/>
      <c r="AG8" s="489"/>
      <c r="AH8" s="490"/>
      <c r="AI8" s="489"/>
      <c r="AJ8" s="489"/>
      <c r="AK8" s="490"/>
      <c r="AL8" s="489"/>
      <c r="AM8" s="489"/>
      <c r="AN8" s="490"/>
      <c r="AO8" s="489"/>
      <c r="AP8" s="489"/>
      <c r="AQ8" s="490"/>
      <c r="AR8" s="489"/>
      <c r="AS8" s="489"/>
      <c r="AT8" s="490"/>
      <c r="AU8" s="489"/>
      <c r="AV8" s="489"/>
      <c r="AW8" s="490"/>
      <c r="AX8" s="489"/>
      <c r="AY8" s="489"/>
      <c r="AZ8" s="490"/>
    </row>
    <row r="9" spans="1:52" s="35" customFormat="1" ht="14.5" x14ac:dyDescent="0.35">
      <c r="B9" s="120" t="s">
        <v>473</v>
      </c>
      <c r="C9" s="121"/>
      <c r="D9" s="121"/>
      <c r="E9" s="121"/>
      <c r="F9" s="121"/>
      <c r="G9" s="121"/>
      <c r="H9" s="121"/>
      <c r="I9" s="121"/>
      <c r="J9" s="121"/>
      <c r="K9" s="121"/>
      <c r="L9" s="121"/>
      <c r="M9" s="121"/>
      <c r="N9" s="121"/>
      <c r="O9" s="121"/>
      <c r="P9" s="121"/>
      <c r="Q9" s="121"/>
      <c r="R9" s="121"/>
      <c r="S9" s="121"/>
      <c r="T9" s="122">
        <f>IF(Database!T16&lt;&gt;0,Database!T16/Database!T$32,"")</f>
        <v>0.18702787184162542</v>
      </c>
      <c r="U9" s="122">
        <f>IF(Database!U16&lt;&gt;0,Database!U16/Database!U$32,"")</f>
        <v>0.17591375230081513</v>
      </c>
      <c r="V9" s="396">
        <f>IF(Database!V16&lt;&gt;0,Database!V16/Database!V$32,"")</f>
        <v>0.18149699031667099</v>
      </c>
      <c r="W9" s="122">
        <f>IF(Database!W16&lt;&gt;0,Database!W16/Database!W$32,"")</f>
        <v>0.16049382716049385</v>
      </c>
      <c r="X9" s="122">
        <f>IF(Database!X16&lt;&gt;0,Database!X16/Database!X$32,"")</f>
        <v>0.16908563134978227</v>
      </c>
      <c r="Y9" s="396">
        <f>IF(Database!Y16&lt;&gt;0,Database!Y16/Database!Y$32,"")</f>
        <v>0.16487720597309638</v>
      </c>
      <c r="Z9" s="122">
        <f>IF(Database!Z16&lt;&gt;0,Database!Z16/Database!Z$32,"")</f>
        <v>0.18732545649838883</v>
      </c>
      <c r="AA9" s="122">
        <f>IF(Database!AA16&lt;&gt;0,Database!AA16/Database!AA$32,"")</f>
        <v>0.19116745041913716</v>
      </c>
      <c r="AB9" s="396">
        <f>IF(Database!AB16&lt;&gt;0,Database!AB16/Database!AB$32,"")</f>
        <v>0.18929394510789857</v>
      </c>
      <c r="AC9" s="122">
        <f>IF(Database!AC16&lt;&gt;0,Database!AC16/Database!AC$32,"")</f>
        <v>0.1898060098896919</v>
      </c>
      <c r="AD9" s="122">
        <f>IF(Database!AD16&lt;&gt;0,Database!AD16/Database!AD$32,"")</f>
        <v>0.18208409506398537</v>
      </c>
      <c r="AE9" s="396">
        <f>IF(Database!AE16&lt;&gt;0,Database!AE16/Database!AE$32,"")</f>
        <v>0.18586875466070099</v>
      </c>
      <c r="AF9" s="122">
        <f>IF(Database!AF16&lt;&gt;0,Database!AF16/Database!AF$32,"")</f>
        <v>0.17869718309859156</v>
      </c>
      <c r="AG9" s="122">
        <f>IF(Database!AG16&lt;&gt;0,Database!AG16/Database!AG$32,"")</f>
        <v>0.17269004806836388</v>
      </c>
      <c r="AH9" s="396">
        <f>IF(Database!AH16&lt;&gt;0,Database!AH16/Database!AH$32,"")</f>
        <v>0.17571036558378331</v>
      </c>
      <c r="AI9" s="122">
        <f>IF(Database!AI16&lt;&gt;0,Database!AI16/Database!AI$32,"")</f>
        <v>0.17139757729162899</v>
      </c>
      <c r="AJ9" s="122">
        <f>IF(Database!AJ16&lt;&gt;0,Database!AJ16/Database!AJ$32,"")</f>
        <v>0.17084179643421349</v>
      </c>
      <c r="AK9" s="396">
        <f>IF(Database!AK16&lt;&gt;0,Database!AK16/Database!AK$32,"")</f>
        <v>0.17115037141136316</v>
      </c>
      <c r="AL9" s="122">
        <f>IF(Database!AL16&lt;&gt;0,Database!AL16/Database!AL$32,"")</f>
        <v>0.17596972563859983</v>
      </c>
      <c r="AM9" s="122">
        <f>IF(Database!AM16&lt;&gt;0,Database!AM16/Database!AM$32,"")</f>
        <v>0.17262265293761356</v>
      </c>
      <c r="AN9" s="396">
        <f>IF(Database!AN16&lt;&gt;0,Database!AN16/Database!AN$32,"")</f>
        <v>0.17416403441890863</v>
      </c>
      <c r="AO9" s="122">
        <f>IF(Database!AO16&lt;&gt;0,Database!AO16/Database!AO$32,"")</f>
        <v>0.16929064213691847</v>
      </c>
      <c r="AP9" s="122">
        <f>IF(Database!AP16&lt;&gt;0,Database!AP16/Database!AP$32,"")</f>
        <v>0.1602307322544464</v>
      </c>
      <c r="AQ9" s="396">
        <v>0.16</v>
      </c>
      <c r="AR9" s="122">
        <f>IF(Database!AR16&lt;&gt;0,Database!AR16/Database!AR$32,"")</f>
        <v>0.15317468126691647</v>
      </c>
      <c r="AS9" s="122">
        <f>IF(Database!AS16&lt;&gt;0,Database!AS16/Database!AS$32,"")</f>
        <v>0.13783754233923962</v>
      </c>
      <c r="AT9" s="396">
        <f>IF(Database!AT16&lt;&gt;0,Database!AT16/Database!AT$32,"")</f>
        <v>0.14556079647093093</v>
      </c>
      <c r="AU9" s="122">
        <f>IF(Database!AU16&lt;&gt;0,Database!AU16/Database!AU$32,"")</f>
        <v>0.12737870735470599</v>
      </c>
      <c r="AV9" s="122">
        <f>IF(Database!AV16&lt;&gt;0,Database!AV16/Database!AV$32,"")</f>
        <v>0.12331979529231807</v>
      </c>
      <c r="AW9" s="396">
        <f>IF(Database!AW16&lt;&gt;0,Database!AW16/Database!AW$32,"")</f>
        <v>0.12544644076090841</v>
      </c>
      <c r="AX9" s="122">
        <f>IF(Database!AX16&lt;&gt;0,Database!AX16/Database!AX$32,"")</f>
        <v>0.12184980715588022</v>
      </c>
      <c r="AY9" s="122">
        <f>IF(Database!AY16&lt;&gt;0,Database!AY16/Database!AY$32,"")</f>
        <v>0.11715250299012635</v>
      </c>
      <c r="AZ9" s="396">
        <f>IF(Database!AZ16&lt;&gt;0,Database!AZ16/Database!AZ$32,"")</f>
        <v>0.11953635152344186</v>
      </c>
    </row>
    <row r="10" spans="1:52" s="35" customFormat="1" ht="14.5" x14ac:dyDescent="0.35">
      <c r="B10" s="120" t="s">
        <v>112</v>
      </c>
      <c r="C10" s="121"/>
      <c r="D10" s="121"/>
      <c r="E10" s="121"/>
      <c r="F10" s="121"/>
      <c r="G10" s="121"/>
      <c r="H10" s="121"/>
      <c r="I10" s="121"/>
      <c r="J10" s="121"/>
      <c r="K10" s="121"/>
      <c r="L10" s="121"/>
      <c r="M10" s="121"/>
      <c r="N10" s="121"/>
      <c r="O10" s="121"/>
      <c r="P10" s="121"/>
      <c r="Q10" s="121"/>
      <c r="R10" s="121"/>
      <c r="S10" s="121"/>
      <c r="T10" s="122">
        <f>IF(Database!T20&lt;&gt;0,Database!T20/Database!T$32,"")</f>
        <v>0.21672310497525399</v>
      </c>
      <c r="U10" s="122">
        <f>IF(Database!U20&lt;&gt;0,Database!U20/Database!U$32,"")</f>
        <v>0.19616092558506443</v>
      </c>
      <c r="V10" s="396">
        <f>IF(Database!V20&lt;&gt;0,Database!V20/Database!V$32,"")</f>
        <v>0.20649044752682544</v>
      </c>
      <c r="W10" s="122">
        <f>IF(Database!W20&lt;&gt;0,Database!W20/Database!W$32,"")</f>
        <v>0.21315192743764172</v>
      </c>
      <c r="X10" s="122">
        <f>IF(Database!X20&lt;&gt;0,Database!X20/Database!X$32,"")</f>
        <v>0.2189163038219642</v>
      </c>
      <c r="Y10" s="396">
        <f>IF(Database!Y20&lt;&gt;0,Database!Y20/Database!Y$32,"")</f>
        <v>0.21609280513390103</v>
      </c>
      <c r="Z10" s="122">
        <f>IF(Database!Z20&lt;&gt;0,Database!Z20/Database!Z$32,"")</f>
        <v>0.23780880773361976</v>
      </c>
      <c r="AA10" s="122">
        <f>IF(Database!AA20&lt;&gt;0,Database!AA20/Database!AA$32,"")</f>
        <v>0.24453077080351668</v>
      </c>
      <c r="AB10" s="396">
        <f>IF(Database!AB20&lt;&gt;0,Database!AB20/Database!AB$32,"")</f>
        <v>0.2412528807877645</v>
      </c>
      <c r="AC10" s="122">
        <f>IF(Database!AC20&lt;&gt;0,Database!AC20/Database!AC$32,"")</f>
        <v>0.25637124381894261</v>
      </c>
      <c r="AD10" s="122">
        <f>IF(Database!AD20&lt;&gt;0,Database!AD20/Database!AD$32,"")</f>
        <v>0.25813528336380254</v>
      </c>
      <c r="AE10" s="396">
        <f>IF(Database!AE20&lt;&gt;0,Database!AE20/Database!AE$32,"")</f>
        <v>0.25727069351230425</v>
      </c>
      <c r="AF10" s="122">
        <f>IF(Database!AF20&lt;&gt;0,Database!AF20/Database!AF$32,"")</f>
        <v>0.27059859154929577</v>
      </c>
      <c r="AG10" s="122">
        <f>IF(Database!AG20&lt;&gt;0,Database!AG20/Database!AG$32,"")</f>
        <v>0.26010325796688621</v>
      </c>
      <c r="AH10" s="396">
        <f>IF(Database!AH20&lt;&gt;0,Database!AH20/Database!AH$32,"")</f>
        <v>0.26538018943082237</v>
      </c>
      <c r="AI10" s="122">
        <f>IF(Database!AI20&lt;&gt;0,Database!AI20/Database!AI$32,"")</f>
        <v>0.26197794250587597</v>
      </c>
      <c r="AJ10" s="122">
        <f>IF(Database!AJ20&lt;&gt;0,Database!AJ20/Database!AJ$32,"")</f>
        <v>0.25930941096817872</v>
      </c>
      <c r="AK10" s="396">
        <f>IF(Database!AK20&lt;&gt;0,Database!AK20/Database!AK$32,"")</f>
        <v>0.26079100582212406</v>
      </c>
      <c r="AL10" s="122">
        <f>IF(Database!AL20&lt;&gt;0,Database!AL20/Database!AL$32,"")</f>
        <v>0.26135288552507097</v>
      </c>
      <c r="AM10" s="122">
        <f>IF(Database!AM20&lt;&gt;0,Database!AM20/Database!AM$32,"")</f>
        <v>0.27114879870785386</v>
      </c>
      <c r="AN10" s="396">
        <f>IF(Database!AN20&lt;&gt;0,Database!AN20/Database!AN$32,"")</f>
        <v>0.26663762117416406</v>
      </c>
      <c r="AO10" s="122">
        <f>IF(Database!AO20&lt;&gt;0,Database!AO20/Database!AO$32,"")</f>
        <v>0.25402441181673446</v>
      </c>
      <c r="AP10" s="122">
        <f>IF(Database!AP20&lt;&gt;0,Database!AP20/Database!AP$32,"")</f>
        <v>0.27287293702932225</v>
      </c>
      <c r="AQ10" s="396">
        <v>0.26</v>
      </c>
      <c r="AR10" s="122">
        <f>IF(Database!AR20&lt;&gt;0,Database!AR20/Database!AR$32,"")</f>
        <v>0.2764676350303808</v>
      </c>
      <c r="AS10" s="122">
        <f>IF(Database!AS20&lt;&gt;0,Database!AS20/Database!AS$32,"")</f>
        <v>0.31401786406089965</v>
      </c>
      <c r="AT10" s="396">
        <f>IF(Database!AT20&lt;&gt;0,Database!AT20/Database!AT$32,"")</f>
        <v>0.29510886396163288</v>
      </c>
      <c r="AU10" s="122">
        <f>IF(Database!AU20&lt;&gt;0,Database!AU20/Database!AU$32,"")</f>
        <v>0.31921824104234531</v>
      </c>
      <c r="AV10" s="122">
        <f>IF(Database!AV20&lt;&gt;0,Database!AV20/Database!AV$32,"")</f>
        <v>0.31227274959055989</v>
      </c>
      <c r="AW10" s="396">
        <f>IF(Database!AW20&lt;&gt;0,Database!AW20/Database!AW$32,"")</f>
        <v>0.31594551722529229</v>
      </c>
      <c r="AX10" s="122">
        <f>IF(Database!AX20&lt;&gt;0,Database!AX20/Database!AX$32,"")</f>
        <v>0.31672408684932235</v>
      </c>
      <c r="AY10" s="122">
        <f>IF(Database!AY20&lt;&gt;0,Database!AY20/Database!AY$32,"")</f>
        <v>0.31882306960048595</v>
      </c>
      <c r="AZ10" s="396">
        <f>IF(Database!AZ20&lt;&gt;0,Database!AZ20/Database!AZ$32,"")</f>
        <v>0.31771967860760081</v>
      </c>
    </row>
    <row r="11" spans="1:52" s="35" customFormat="1" ht="14.5" x14ac:dyDescent="0.35">
      <c r="A11" s="1"/>
      <c r="B11" s="120" t="s">
        <v>113</v>
      </c>
      <c r="C11" s="121"/>
      <c r="D11" s="121"/>
      <c r="E11" s="121"/>
      <c r="F11" s="121"/>
      <c r="G11" s="121"/>
      <c r="H11" s="121"/>
      <c r="I11" s="121"/>
      <c r="J11" s="121"/>
      <c r="K11" s="121"/>
      <c r="L11" s="121"/>
      <c r="M11" s="121"/>
      <c r="N11" s="121"/>
      <c r="O11" s="121"/>
      <c r="P11" s="121"/>
      <c r="Q11" s="121"/>
      <c r="R11" s="121"/>
      <c r="S11" s="121"/>
      <c r="T11" s="122">
        <f>IF(Database!T24&lt;&gt;0,Database!T24/Database!T$32,"")</f>
        <v>0.35191456108361552</v>
      </c>
      <c r="U11" s="122">
        <f>IF(Database!U24&lt;&gt;0,Database!U24/Database!U$32,"")</f>
        <v>0.35971601367341577</v>
      </c>
      <c r="V11" s="396">
        <f>IF(Database!V24&lt;&gt;0,Database!V24/Database!V$32,"")</f>
        <v>0.35579691180319284</v>
      </c>
      <c r="W11" s="122">
        <f>IF(Database!W24&lt;&gt;0,Database!W24/Database!W$32,"")</f>
        <v>0.35122197026958935</v>
      </c>
      <c r="X11" s="122">
        <f>IF(Database!X24&lt;&gt;0,Database!X24/Database!X$32,"")</f>
        <v>0.32002902757619739</v>
      </c>
      <c r="Y11" s="396">
        <f>IF(Database!Y24&lt;&gt;0,Database!Y24/Database!Y$32,"")</f>
        <v>0.33530791065037641</v>
      </c>
      <c r="Z11" s="122">
        <f>IF(Database!Z24&lt;&gt;0,Database!Z24/Database!Z$32,"")</f>
        <v>0.27089151450053706</v>
      </c>
      <c r="AA11" s="122">
        <f>IF(Database!AA24&lt;&gt;0,Database!AA24/Database!AA$32,"")</f>
        <v>0.25925168677162136</v>
      </c>
      <c r="AB11" s="396">
        <f>IF(Database!AB24&lt;&gt;0,ROUNDUP(Database!AB24/Database!AB$32,2),"")</f>
        <v>0.27</v>
      </c>
      <c r="AC11" s="122">
        <f>IF(Database!AC24&lt;&gt;0,Database!AC24/Database!AC$32,"")</f>
        <v>0.24248763788512745</v>
      </c>
      <c r="AD11" s="122">
        <f>IF(Database!AD24&lt;&gt;0,Database!AD24/Database!AD$32,"")</f>
        <v>0.23893967093235829</v>
      </c>
      <c r="AE11" s="396">
        <f>IF(Database!AE24&lt;&gt;0,Database!AE24/Database!AE$32,"")</f>
        <v>0.24067859806114839</v>
      </c>
      <c r="AF11" s="122">
        <f>IF(Database!AF24&lt;&gt;0,Database!AF24/Database!AF$32,"")</f>
        <v>0.23186619718309856</v>
      </c>
      <c r="AG11" s="122">
        <f>IF(Database!AG24&lt;&gt;0,Database!AG24/Database!AG$32,"")</f>
        <v>0.23517892113227698</v>
      </c>
      <c r="AH11" s="396">
        <f>IF(Database!AH24&lt;&gt;0,Database!AH24/Database!AH$32,"")</f>
        <v>0.23351332212091705</v>
      </c>
      <c r="AI11" s="122">
        <f>IF(Database!AI24&lt;&gt;0,Database!AI24/Database!AI$32,"")</f>
        <v>0.22907250045199781</v>
      </c>
      <c r="AJ11" s="122">
        <f>IF(Database!AJ24&lt;&gt;0,Database!AJ24/Database!AJ$32,"")</f>
        <v>0.22320018054615212</v>
      </c>
      <c r="AK11" s="396">
        <f>IF(Database!AK24&lt;&gt;0,Database!AK24/Database!AK$32,"")</f>
        <v>0.2264605500903433</v>
      </c>
      <c r="AL11" s="122">
        <f>IF(Database!AL24&lt;&gt;0,Database!AL24/Database!AL$32,"")</f>
        <v>0.2185430463576159</v>
      </c>
      <c r="AM11" s="122">
        <f>IF(Database!AM24&lt;&gt;0,Database!AM24/Database!AM$32,"")</f>
        <v>0.21946295174641631</v>
      </c>
      <c r="AN11" s="396">
        <f>IF(Database!AN24&lt;&gt;0,Database!AN24/Database!AN$32,"")</f>
        <v>0.21903932033547543</v>
      </c>
      <c r="AO11" s="122">
        <f>IF(Database!AO24&lt;&gt;0,Database!AO24/Database!AO$32,"")</f>
        <v>0.22607465062798515</v>
      </c>
      <c r="AP11" s="122">
        <f>IF(Database!AP24&lt;&gt;0,Database!AP24/Database!AP$32,"")</f>
        <v>0.21711264220477486</v>
      </c>
      <c r="AQ11" s="396">
        <v>0.22</v>
      </c>
      <c r="AR11" s="122">
        <f>IF(Database!AR24&lt;&gt;0,Database!AR24/Database!AR$32,"")</f>
        <v>0.21004398798763763</v>
      </c>
      <c r="AS11" s="122">
        <f>IF(Database!AS24&lt;&gt;0,Database!AS24/Database!AS$32,"")</f>
        <v>0.20104277120511038</v>
      </c>
      <c r="AT11" s="396">
        <f>IF(Database!AT24&lt;&gt;0,Database!AT24/Database!AT$32,"")</f>
        <v>0.20557547349291791</v>
      </c>
      <c r="AU11" s="122">
        <f>IF(Database!AU24&lt;&gt;0,Database!AU24/Database!AU$32,"")</f>
        <v>0.20246871249785703</v>
      </c>
      <c r="AV11" s="122">
        <f>IF(Database!AV24&lt;&gt;0,Database!AV24/Database!AV$32,"")</f>
        <v>0.20286333680502339</v>
      </c>
      <c r="AW11" s="396">
        <f>IF(Database!AW24&lt;&gt;0,Database!AW24/Database!AW$32,"")</f>
        <v>0.20265693795573891</v>
      </c>
      <c r="AX11" s="122">
        <f>IF(Database!AX24&lt;&gt;0,Database!AX24/Database!AX$32,"")</f>
        <v>0.19646004164236625</v>
      </c>
      <c r="AY11" s="122">
        <f>IF(Database!AY24&lt;&gt;0,Database!AY24/Database!AY$32,"")</f>
        <v>0.19888696833132355</v>
      </c>
      <c r="AZ11" s="396">
        <f>IF(Database!AZ24&lt;&gt;0,Database!AZ24/Database!AZ$32,"")</f>
        <v>0.19762864144263434</v>
      </c>
    </row>
    <row r="12" spans="1:52" s="35" customFormat="1" ht="14.5" x14ac:dyDescent="0.3">
      <c r="A12" s="20"/>
      <c r="B12" s="120" t="s">
        <v>114</v>
      </c>
      <c r="C12" s="121"/>
      <c r="D12" s="121"/>
      <c r="E12" s="121"/>
      <c r="F12" s="121"/>
      <c r="G12" s="121"/>
      <c r="H12" s="121"/>
      <c r="I12" s="121"/>
      <c r="J12" s="121"/>
      <c r="K12" s="121"/>
      <c r="L12" s="121"/>
      <c r="M12" s="121"/>
      <c r="N12" s="121"/>
      <c r="O12" s="121"/>
      <c r="P12" s="121"/>
      <c r="Q12" s="121"/>
      <c r="R12" s="121"/>
      <c r="S12" s="121"/>
      <c r="T12" s="122">
        <f>IF(Database!T28&lt;&gt;0,Database!T28/Database!T$32,"")</f>
        <v>0.24433446209950496</v>
      </c>
      <c r="U12" s="122">
        <f>IF(Database!U28&lt;&gt;0,Database!U28/Database!U$32,"")</f>
        <v>0.26820930844070484</v>
      </c>
      <c r="V12" s="472">
        <f>IF(Database!V28&lt;&gt;0,Database!V28/Database!V$32,"")</f>
        <v>0.25621565035331068</v>
      </c>
      <c r="W12" s="122">
        <f>IF(Database!W28&lt;&gt;0,Database!W28/Database!W$32,"")</f>
        <v>0.27513227513227517</v>
      </c>
      <c r="X12" s="122">
        <f>IF(Database!X28&lt;&gt;0,Database!X28/Database!X$32,"")</f>
        <v>0.29196903725205614</v>
      </c>
      <c r="Y12" s="472">
        <f>IF(Database!Y28&lt;&gt;0,Database!Y28/Database!Y$32,"")</f>
        <v>0.28372207824262619</v>
      </c>
      <c r="Z12" s="122">
        <f>IF(Database!Z28&lt;&gt;0,Database!Z28/Database!Z$32,"")</f>
        <v>0.30397422126745433</v>
      </c>
      <c r="AA12" s="122">
        <f>IF(Database!AA28&lt;&gt;0,Database!AA28/Database!AA$32,"")</f>
        <v>0.30505009200572475</v>
      </c>
      <c r="AB12" s="472">
        <f>IF(Database!AB28&lt;&gt;0,Database!AB28/Database!AB$32,"")</f>
        <v>0.30452545568824635</v>
      </c>
      <c r="AC12" s="122">
        <f>IF(Database!AC28&lt;&gt;0,Database!AC28/Database!AC$32,"")</f>
        <v>0.31133510840623813</v>
      </c>
      <c r="AD12" s="122">
        <f>IF(Database!AD28&lt;&gt;0,Database!AD28/Database!AD$32,"")</f>
        <v>0.32084095063985374</v>
      </c>
      <c r="AE12" s="472">
        <f>IF(Database!AE28&lt;&gt;0,Database!AE28/Database!AE$32,"")</f>
        <v>0.3161819537658464</v>
      </c>
      <c r="AF12" s="122">
        <f>IF(Database!AF28&lt;&gt;0,Database!AF28/Database!AF$32,"")</f>
        <v>0.31883802816901408</v>
      </c>
      <c r="AG12" s="122">
        <f>IF(Database!AG28&lt;&gt;0,Database!AG28/Database!AG$32,"")</f>
        <v>0.33202777283247281</v>
      </c>
      <c r="AH12" s="472">
        <f>IF(Database!AH28&lt;&gt;0,Database!AH28/Database!AH$32,"")</f>
        <v>0.32539612286447728</v>
      </c>
      <c r="AI12" s="122">
        <f>IF(Database!AI28&lt;&gt;0,Database!AI28/Database!AI$32,"")</f>
        <v>0.33755197975049717</v>
      </c>
      <c r="AJ12" s="122">
        <f>IF(Database!AJ28&lt;&gt;0,Database!AJ28/Database!AJ$32,"")</f>
        <v>0.34664861205145564</v>
      </c>
      <c r="AK12" s="472">
        <f>IF(Database!AK28&lt;&gt;0,Database!AK28/Database!AK$32,"")</f>
        <v>0.34159807267616943</v>
      </c>
      <c r="AL12" s="122">
        <f>IF(Database!AL28&lt;&gt;0,Database!AL28/Database!AL$32,"")</f>
        <v>0.34413434247871333</v>
      </c>
      <c r="AM12" s="122">
        <f>IF(Database!AM28&lt;&gt;0,Database!AM28/Database!AM$32,"")</f>
        <v>0.33696749444780943</v>
      </c>
      <c r="AN12" s="472">
        <f>IF(Database!AN28&lt;&gt;0,Database!AN28/Database!AN$32,"")</f>
        <v>0.34015902407145193</v>
      </c>
      <c r="AO12" s="122">
        <f>IF(Database!AO28&lt;&gt;0,Database!AO28/Database!AO$32,"")</f>
        <v>0.35061029541836192</v>
      </c>
      <c r="AP12" s="122">
        <f>IF(Database!AP28&lt;&gt;0,Database!AP28/Database!AP$32,"")</f>
        <v>0.34978368851145653</v>
      </c>
      <c r="AQ12" s="472">
        <v>0.36</v>
      </c>
      <c r="AR12" s="122">
        <f>IF(Database!AR28&lt;&gt;0,Database!AR28/Database!AR$32,"")</f>
        <v>0.36030619767784833</v>
      </c>
      <c r="AS12" s="122">
        <f>IF(Database!AS28&lt;&gt;0,Database!AS28/Database!AS$32,"")</f>
        <v>0.34726502937344211</v>
      </c>
      <c r="AT12" s="472">
        <f>IF(Database!AT28&lt;&gt;0,Database!AT28/Database!AT$32,"")</f>
        <v>0.35383211189541958</v>
      </c>
      <c r="AU12" s="122">
        <f>IF(Database!AU28&lt;&gt;0,Database!AU28/Database!AU$32,"")</f>
        <v>0.35093433910509175</v>
      </c>
      <c r="AV12" s="122">
        <f>IF(Database!AV28&lt;&gt;0,Database!AV28/Database!AV$32,"")</f>
        <v>0.36154411831209871</v>
      </c>
      <c r="AW12" s="472">
        <f>IF(Database!AW28&lt;&gt;0,Database!AW28/Database!AW$32,"")</f>
        <v>0.35595110405806041</v>
      </c>
      <c r="AX12" s="122">
        <f>IF(Database!AX28&lt;&gt;0,Database!AX28/Database!AX$32,"")</f>
        <v>0.36516769258205872</v>
      </c>
      <c r="AY12" s="122">
        <f>IF(Database!AY28&lt;&gt;0,Database!AY28/Database!AY$32,"")</f>
        <v>0.36534740966511331</v>
      </c>
      <c r="AZ12" s="472">
        <f>IF(Database!AZ28&lt;&gt;0,Database!AZ28/Database!AZ$32,"")</f>
        <v>0.36521817048221739</v>
      </c>
    </row>
    <row r="13" spans="1:52" s="87" customFormat="1" ht="14.5" thickBot="1" x14ac:dyDescent="0.35">
      <c r="A13" s="20"/>
      <c r="B13" s="82" t="s">
        <v>115</v>
      </c>
      <c r="C13" s="83"/>
      <c r="D13" s="83"/>
      <c r="E13" s="83"/>
      <c r="F13" s="83"/>
      <c r="G13" s="83"/>
      <c r="H13" s="83"/>
      <c r="I13" s="83"/>
      <c r="J13" s="83"/>
      <c r="K13" s="83"/>
      <c r="L13" s="83"/>
      <c r="M13" s="83"/>
      <c r="N13" s="83"/>
      <c r="O13" s="83"/>
      <c r="P13" s="83"/>
      <c r="Q13" s="83"/>
      <c r="R13" s="83"/>
      <c r="S13" s="83"/>
      <c r="T13" s="84">
        <f>IF(Database!T32&lt;&gt;0,Database!T32/Database!T$32,"")</f>
        <v>1</v>
      </c>
      <c r="U13" s="84">
        <f>IF(Database!U32&lt;&gt;0,Database!U32/Database!U$32,"")</f>
        <v>1</v>
      </c>
      <c r="V13" s="395">
        <f>IF(Database!V32&lt;&gt;0,Database!V32/Database!V$32,"")</f>
        <v>1</v>
      </c>
      <c r="W13" s="84">
        <f>IF(Database!W32&lt;&gt;0,Database!W32/Database!W$32,"")</f>
        <v>1</v>
      </c>
      <c r="X13" s="84">
        <f>IF(Database!X32&lt;&gt;0,Database!X32/Database!X$32,"")</f>
        <v>1</v>
      </c>
      <c r="Y13" s="395">
        <f>IF(Database!Y32&lt;&gt;0,Database!Y32/Database!Y$32,"")</f>
        <v>1</v>
      </c>
      <c r="Z13" s="84">
        <f>IF(Database!Z32&lt;&gt;0,Database!Z32/Database!Z$32,"")</f>
        <v>1</v>
      </c>
      <c r="AA13" s="84">
        <f>IF(Database!AA32&lt;&gt;0,Database!AA32/Database!AA$32,"")</f>
        <v>1</v>
      </c>
      <c r="AB13" s="395">
        <f>IF(Database!AB32&lt;&gt;0,Database!AB32/Database!AB$32,"")</f>
        <v>1</v>
      </c>
      <c r="AC13" s="84">
        <f>IF(Database!AC32&lt;&gt;0,Database!AC32/Database!AC$32,"")</f>
        <v>1</v>
      </c>
      <c r="AD13" s="84">
        <f>IF(Database!AD32&lt;&gt;0,Database!AD32/Database!AD$32,"")</f>
        <v>1</v>
      </c>
      <c r="AE13" s="395">
        <f>IF(Database!AE32&lt;&gt;0,Database!AE32/Database!AE$32,"")</f>
        <v>1</v>
      </c>
      <c r="AF13" s="84">
        <f>IF(Database!AF32&lt;&gt;0,Database!AF32/Database!AF$32,"")</f>
        <v>1</v>
      </c>
      <c r="AG13" s="84">
        <f>IF(Database!AG32&lt;&gt;0,Database!AG32/Database!AG$32,"")</f>
        <v>1</v>
      </c>
      <c r="AH13" s="395">
        <f>IF(Database!AH32&lt;&gt;0,Database!AH32/Database!AH$32,"")</f>
        <v>1</v>
      </c>
      <c r="AI13" s="84">
        <f>IF(Database!AI32&lt;&gt;0,Database!AI32/Database!AI$32,"")</f>
        <v>1</v>
      </c>
      <c r="AJ13" s="84">
        <f>IF(Database!AJ32&lt;&gt;0,Database!AJ32/Database!AJ$32,"")</f>
        <v>1</v>
      </c>
      <c r="AK13" s="395">
        <f>IF(Database!AK32&lt;&gt;0,Database!AK32/Database!AK$32,"")</f>
        <v>1</v>
      </c>
      <c r="AL13" s="84">
        <f>IF(Database!AL32&lt;&gt;0,Database!AL32/Database!AL$32,"")</f>
        <v>1</v>
      </c>
      <c r="AM13" s="84">
        <f>IF(Database!AM32&lt;&gt;0,Database!AM32/Database!AM$32,"")</f>
        <v>1</v>
      </c>
      <c r="AN13" s="395">
        <f>IF(Database!AN32&lt;&gt;0,Database!AN32/Database!AN$32,"")</f>
        <v>1</v>
      </c>
      <c r="AO13" s="84">
        <f>IF(Database!AO32&lt;&gt;0,Database!AO32/Database!AO$32,"")</f>
        <v>1</v>
      </c>
      <c r="AP13" s="84">
        <f>IF(Database!AP32&lt;&gt;0,Database!AP32/Database!AP$32,"")</f>
        <v>1</v>
      </c>
      <c r="AQ13" s="395">
        <f>IF(Database!AQ32&lt;&gt;0,Database!AQ32/Database!AQ$32,"")</f>
        <v>1</v>
      </c>
      <c r="AR13" s="84">
        <f>IF(Database!AR32&lt;&gt;0,Database!AR32/Database!AR$32,"")</f>
        <v>1</v>
      </c>
      <c r="AS13" s="84">
        <f>IF(Database!AS32&lt;&gt;0,Database!AS32/Database!AS$32,"")</f>
        <v>1</v>
      </c>
      <c r="AT13" s="395">
        <f>IF(Database!AT32&lt;&gt;0,Database!AT32/Database!AT$32,"")</f>
        <v>1</v>
      </c>
      <c r="AU13" s="84">
        <f>IF(Database!AU32&lt;&gt;0,Database!AU32/Database!AU$32,"")</f>
        <v>1</v>
      </c>
      <c r="AV13" s="84">
        <f>IF(Database!AV32&lt;&gt;0,Database!AV32/Database!AV$32,"")</f>
        <v>1</v>
      </c>
      <c r="AW13" s="395">
        <f>IF(Database!AW32&lt;&gt;0,Database!AW32/Database!AW$32,"")</f>
        <v>1</v>
      </c>
      <c r="AX13" s="84">
        <f>IF(Database!AX32&lt;&gt;0,Database!AX32/Database!AX$32,"")</f>
        <v>1</v>
      </c>
      <c r="AY13" s="84">
        <f>IF(Database!AY32&lt;&gt;0,Database!AY32/Database!AY$32,"")</f>
        <v>1</v>
      </c>
      <c r="AZ13" s="395">
        <f>IF(Database!AZ32&lt;&gt;0,Database!AZ32/Database!AZ$32,"")</f>
        <v>1</v>
      </c>
    </row>
    <row r="14" spans="1:52" s="17" customFormat="1" ht="14.5" thickTop="1" x14ac:dyDescent="0.3">
      <c r="A14" s="153"/>
      <c r="T14" s="223"/>
      <c r="U14" s="223"/>
      <c r="V14" s="473"/>
      <c r="W14" s="223"/>
      <c r="X14" s="306"/>
      <c r="Y14" s="473"/>
      <c r="Z14" s="306"/>
      <c r="AA14" s="306"/>
      <c r="AB14" s="481"/>
      <c r="AC14" s="306"/>
      <c r="AD14" s="306"/>
      <c r="AE14" s="481"/>
      <c r="AF14" s="306"/>
      <c r="AG14" s="306"/>
      <c r="AH14" s="481"/>
      <c r="AI14" s="306"/>
      <c r="AJ14" s="306"/>
      <c r="AK14" s="481"/>
      <c r="AL14" s="306"/>
      <c r="AM14" s="306"/>
      <c r="AN14" s="481"/>
      <c r="AO14" s="306"/>
      <c r="AP14" s="294"/>
      <c r="AQ14" s="481"/>
      <c r="AR14" s="306"/>
      <c r="AS14" s="306"/>
      <c r="AT14" s="481"/>
      <c r="AU14" s="306"/>
      <c r="AV14" s="306"/>
      <c r="AW14" s="481"/>
      <c r="AX14" s="306"/>
      <c r="AY14" s="306"/>
      <c r="AZ14" s="481"/>
    </row>
    <row r="15" spans="1:52" s="138" customFormat="1" x14ac:dyDescent="0.3">
      <c r="A15" s="153"/>
      <c r="B15" s="487" t="s">
        <v>116</v>
      </c>
      <c r="C15" s="487"/>
      <c r="D15" s="487"/>
      <c r="E15" s="487"/>
      <c r="F15" s="487"/>
      <c r="G15" s="487"/>
      <c r="H15" s="487"/>
      <c r="I15" s="487"/>
      <c r="J15" s="487"/>
      <c r="K15" s="487"/>
      <c r="L15" s="487"/>
      <c r="M15" s="487"/>
      <c r="N15" s="487"/>
      <c r="O15" s="487"/>
      <c r="P15" s="487"/>
      <c r="Q15" s="487"/>
      <c r="R15" s="487"/>
      <c r="S15" s="487"/>
      <c r="T15" s="487"/>
      <c r="U15" s="487"/>
      <c r="V15" s="488"/>
      <c r="W15" s="487"/>
      <c r="X15" s="489"/>
      <c r="Y15" s="488"/>
      <c r="Z15" s="489"/>
      <c r="AA15" s="489"/>
      <c r="AB15" s="490"/>
      <c r="AC15" s="489"/>
      <c r="AD15" s="489"/>
      <c r="AE15" s="490"/>
      <c r="AF15" s="489"/>
      <c r="AG15" s="489"/>
      <c r="AH15" s="490"/>
      <c r="AI15" s="489"/>
      <c r="AJ15" s="489"/>
      <c r="AK15" s="490"/>
      <c r="AL15" s="489"/>
      <c r="AM15" s="489"/>
      <c r="AN15" s="490"/>
      <c r="AO15" s="489"/>
      <c r="AP15" s="489"/>
      <c r="AQ15" s="490"/>
      <c r="AR15" s="489"/>
      <c r="AS15" s="489"/>
      <c r="AT15" s="490"/>
      <c r="AU15" s="489"/>
      <c r="AV15" s="489"/>
      <c r="AW15" s="490"/>
      <c r="AX15" s="489"/>
      <c r="AY15" s="489"/>
      <c r="AZ15" s="490"/>
    </row>
    <row r="16" spans="1:52" s="35" customFormat="1" ht="14.5" x14ac:dyDescent="0.35">
      <c r="A16" s="21"/>
      <c r="B16" s="120" t="s">
        <v>117</v>
      </c>
      <c r="C16" s="121"/>
      <c r="D16" s="121"/>
      <c r="E16" s="121"/>
      <c r="F16" s="121"/>
      <c r="G16" s="121"/>
      <c r="H16" s="121"/>
      <c r="I16" s="121"/>
      <c r="J16" s="121"/>
      <c r="K16" s="121"/>
      <c r="L16" s="121"/>
      <c r="M16" s="121"/>
      <c r="N16" s="121"/>
      <c r="O16" s="121"/>
      <c r="P16" s="121"/>
      <c r="Q16" s="121"/>
      <c r="R16" s="121"/>
      <c r="S16" s="121"/>
      <c r="T16" s="122">
        <f>IF(Database!T38&lt;&gt;0,Database!T38/Database!T$46,"")</f>
        <v>0.5806199531127898</v>
      </c>
      <c r="U16" s="122">
        <f>IF(Database!U38&lt;&gt;0,Database!U38/Database!U$46,"")</f>
        <v>0.57901656586905081</v>
      </c>
      <c r="V16" s="396">
        <f>IF(Database!V38&lt;&gt;0,Database!V38/Database!V$46,"")</f>
        <v>0.57982203611619998</v>
      </c>
      <c r="W16" s="122">
        <f>IF(Database!W38&lt;&gt;0,Database!W38/Database!W$46,"")</f>
        <v>0.57974300831443693</v>
      </c>
      <c r="X16" s="122">
        <f>IF(Database!X38&lt;&gt;0,Database!X38/Database!X$46,"")</f>
        <v>0.58006773101112719</v>
      </c>
      <c r="Y16" s="396">
        <f>IF(Database!Y38&lt;&gt;0,Database!Y38/Database!Y$46,"")</f>
        <v>0.57990867579908678</v>
      </c>
      <c r="Z16" s="122">
        <f>IF(Database!Z38&lt;&gt;0,Database!Z38/Database!Z$46,"")</f>
        <v>0.58754027926960262</v>
      </c>
      <c r="AA16" s="122">
        <f>IF(Database!AA38&lt;&gt;0,Database!AA38/Database!AA$46,"")</f>
        <v>0.58720098139439791</v>
      </c>
      <c r="AB16" s="396">
        <f>IF(Database!AB38&lt;&gt;0,Database!AB38/Database!AB$46,"")</f>
        <v>0.58736643620364548</v>
      </c>
      <c r="AC16" s="122">
        <f>IF(Database!AC38&lt;&gt;0,Database!AC38/Database!AC$46,"")</f>
        <v>0.57740585774058584</v>
      </c>
      <c r="AD16" s="122">
        <f>IF(Database!AD38&lt;&gt;0,Database!AD38/Database!AD$46,"")</f>
        <v>0.57696526508226698</v>
      </c>
      <c r="AE16" s="396">
        <f>IF(Database!AE38&lt;&gt;0,Database!AE38/Database!AE$46,"")</f>
        <v>0.57718120805369133</v>
      </c>
      <c r="AF16" s="122">
        <f>IF(Database!AF38&lt;&gt;0,Database!AF38/Database!AF$46,"")</f>
        <v>0.57623239436619722</v>
      </c>
      <c r="AG16" s="122">
        <f>IF(Database!AG38&lt;&gt;0,Database!AG38/Database!AG$46,"")</f>
        <v>0.57325974719601203</v>
      </c>
      <c r="AH16" s="396">
        <f>IF(Database!AH38&lt;&gt;0,Database!AH38/Database!AH$46,"")</f>
        <v>0.57475435956448606</v>
      </c>
      <c r="AI16" s="122">
        <f>IF(Database!AI38&lt;&gt;0,Database!AI38/Database!AI$46,"")</f>
        <v>0.57801482552883743</v>
      </c>
      <c r="AJ16" s="122">
        <f>IF(Database!AJ38&lt;&gt;0,Database!AJ38/Database!AJ$46,"")</f>
        <v>0.60798916723087326</v>
      </c>
      <c r="AK16" s="396">
        <f>IF(Database!AK38&lt;&gt;0,Database!AK38/Database!AK$46,"")</f>
        <v>0.59134711905239912</v>
      </c>
      <c r="AL16" s="122">
        <f>IF(Database!AL38&lt;&gt;0,Database!AL38/Database!AL$46,"")</f>
        <v>0.61849574266792806</v>
      </c>
      <c r="AM16" s="122">
        <f>IF(Database!AM38&lt;&gt;0,Database!AM38/Database!AM$46,"")</f>
        <v>0.59499293357561067</v>
      </c>
      <c r="AN16" s="396">
        <f>IF(Database!AN38&lt;&gt;0,Database!AN38/Database!AN$46,"")</f>
        <v>0.60581635987365212</v>
      </c>
      <c r="AO16" s="122">
        <f>IF(Database!AO38&lt;&gt;0,Database!AO38/Database!AO$46,"")</f>
        <v>0.55563417654342839</v>
      </c>
      <c r="AP16" s="122">
        <f>IF(Database!AP38&lt;&gt;0,Database!AP38/Database!AP$46,"")</f>
        <v>0.55295625701009454</v>
      </c>
      <c r="AQ16" s="396">
        <f>IF(Database!AQ38&lt;&gt;0,Database!AQ38/Database!AQ$46,"")</f>
        <v>0.55422902303682531</v>
      </c>
      <c r="AR16" s="122">
        <f>IF(Database!AR38&lt;&gt;0,Database!AR38/Database!AR$46,"")</f>
        <v>0.55146494861175033</v>
      </c>
      <c r="AS16" s="122">
        <f>IF(Database!AS38&lt;&gt;0,Database!AS38/Database!AS$46,"")</f>
        <v>0.58552745192209721</v>
      </c>
      <c r="AT16" s="396">
        <f>IF(Database!AT38&lt;&gt;0,Database!AT38/Database!AT$46,"")</f>
        <v>0.56837475019148609</v>
      </c>
      <c r="AU16" s="122">
        <f>IF(Database!AU38&lt;&gt;0,Database!AU38/Database!AU$46,"")</f>
        <v>0.58563346476941547</v>
      </c>
      <c r="AV16" s="122">
        <f>IF(Database!AV38&lt;&gt;0,Database!AV38/Database!AV$46,"")</f>
        <v>0.60439497735633563</v>
      </c>
      <c r="AW16" s="396">
        <f>IF(Database!AW38&lt;&gt;0,Database!AW38/Database!AW$46,"")</f>
        <v>0.59455397303419089</v>
      </c>
      <c r="AX16" s="122">
        <f>IF(Database!AX38&lt;&gt;0,Database!AX38/Database!AX$46,"")</f>
        <v>0.61639659194425256</v>
      </c>
      <c r="AY16" s="122">
        <f>IF(Database!AY38&lt;&gt;0,Database!AY38/Database!AY$46,"")</f>
        <v>0.62626271907580089</v>
      </c>
      <c r="AZ16" s="396">
        <f>IF(Database!AZ38&lt;&gt;0,Database!AZ38/Database!AZ$46,"")</f>
        <v>0.62116601760235368</v>
      </c>
    </row>
    <row r="17" spans="1:52" s="35" customFormat="1" ht="14.5" x14ac:dyDescent="0.3">
      <c r="A17" s="25"/>
      <c r="B17" s="120" t="s">
        <v>118</v>
      </c>
      <c r="C17" s="121"/>
      <c r="D17" s="121"/>
      <c r="E17" s="121"/>
      <c r="F17" s="121"/>
      <c r="G17" s="121"/>
      <c r="H17" s="121"/>
      <c r="I17" s="121"/>
      <c r="J17" s="121"/>
      <c r="K17" s="121"/>
      <c r="L17" s="121"/>
      <c r="M17" s="121"/>
      <c r="N17" s="121"/>
      <c r="O17" s="121"/>
      <c r="P17" s="121"/>
      <c r="Q17" s="121"/>
      <c r="R17" s="121"/>
      <c r="S17" s="121"/>
      <c r="T17" s="122">
        <f>IF(Database!T42&lt;&gt;0,Database!T42/Database!T$46,"")</f>
        <v>0.41938004688721026</v>
      </c>
      <c r="U17" s="122">
        <f>IF(Database!U42&lt;&gt;0,Database!U42/Database!U$46,"")</f>
        <v>0.4209834341309493</v>
      </c>
      <c r="V17" s="472">
        <f>IF(Database!V42&lt;&gt;0,Database!V42/Database!V$46,"")</f>
        <v>0.42017796388380008</v>
      </c>
      <c r="W17" s="122">
        <f>IF(Database!W42&lt;&gt;0,Database!W42/Database!W$46,"")</f>
        <v>0.42025699168556319</v>
      </c>
      <c r="X17" s="122">
        <f>IF(Database!X42&lt;&gt;0,Database!X42/Database!X$46,"")</f>
        <v>0.4199322689888727</v>
      </c>
      <c r="Y17" s="472">
        <f>IF(Database!Y42&lt;&gt;0,Database!Y42/Database!Y$46,"")</f>
        <v>0.42009132420091322</v>
      </c>
      <c r="Z17" s="122">
        <f>IF(Database!Z42&lt;&gt;0,Database!Z42/Database!Z$46,"")</f>
        <v>0.41245972073039744</v>
      </c>
      <c r="AA17" s="122">
        <f>IF(Database!AA42&lt;&gt;0,Database!AA42/Database!AA$46,"")</f>
        <v>0.41279901860560209</v>
      </c>
      <c r="AB17" s="472">
        <f>IF(Database!AB42&lt;&gt;0,Database!AB42/Database!AB$46,"")</f>
        <v>0.41263356379635441</v>
      </c>
      <c r="AC17" s="122">
        <f>IF(Database!AC42&lt;&gt;0,Database!AC42/Database!AC$46,"")</f>
        <v>0.42259414225941422</v>
      </c>
      <c r="AD17" s="122">
        <f>IF(Database!AD42&lt;&gt;0,Database!AD42/Database!AD$46,"")</f>
        <v>0.42303473491773314</v>
      </c>
      <c r="AE17" s="472">
        <f>IF(Database!AE42&lt;&gt;0,Database!AE42/Database!AE$46,"")</f>
        <v>0.42281879194630878</v>
      </c>
      <c r="AF17" s="122">
        <f>IF(Database!AF42&lt;&gt;0,Database!AF42/Database!AF$46,"")</f>
        <v>0.42376760563380278</v>
      </c>
      <c r="AG17" s="122">
        <f>IF(Database!AG42&lt;&gt;0,Database!AG42/Database!AG$46,"")</f>
        <v>0.42674025280398786</v>
      </c>
      <c r="AH17" s="472">
        <f>IF(Database!AH42&lt;&gt;0,Database!AH42/Database!AH$46,"")</f>
        <v>0.42524564043551383</v>
      </c>
      <c r="AI17" s="122">
        <f>IF(Database!AI42&lt;&gt;0,Database!AI42/Database!AI$46,"")</f>
        <v>0.42198517447116252</v>
      </c>
      <c r="AJ17" s="122">
        <f>IF(Database!AJ42&lt;&gt;0,Database!AJ42/Database!AJ$46,"")</f>
        <v>0.39201083276912657</v>
      </c>
      <c r="AK17" s="472">
        <f>IF(Database!AK42&lt;&gt;0,Database!AK42/Database!AK$46,"")</f>
        <v>0.40865288094760088</v>
      </c>
      <c r="AL17" s="122">
        <f>IF(Database!AL42&lt;&gt;0,Database!AL42/Database!AL$46,"")</f>
        <v>0.38150425733207194</v>
      </c>
      <c r="AM17" s="122">
        <f>IF(Database!AM42&lt;&gt;0,Database!AM42/Database!AM$46,"")</f>
        <v>0.40500706642438922</v>
      </c>
      <c r="AN17" s="472">
        <f>IF(Database!AN42&lt;&gt;0,Database!AN42/Database!AN$46,"")</f>
        <v>0.39418364012634788</v>
      </c>
      <c r="AO17" s="122">
        <f>IF(Database!AO42&lt;&gt;0,Database!AO42/Database!AO$46,"")</f>
        <v>0.44436582345657177</v>
      </c>
      <c r="AP17" s="122">
        <f>IF(Database!AP42&lt;&gt;0,Database!AP42/Database!AP$46,"")</f>
        <v>0.44704374298990546</v>
      </c>
      <c r="AQ17" s="472">
        <f>IF(Database!AQ42&lt;&gt;0,Database!AQ42/Database!AQ$46,"")</f>
        <v>0.44577097696317469</v>
      </c>
      <c r="AR17" s="122">
        <f>IF(Database!AR42&lt;&gt;0,Database!AR42/Database!AR$46,"")</f>
        <v>0.44854062616052182</v>
      </c>
      <c r="AS17" s="122">
        <f>IF(Database!AS42&lt;&gt;0,Database!AS42/Database!AS$46,"")</f>
        <v>0.41451603845779489</v>
      </c>
      <c r="AT17" s="472">
        <f>IF(Database!AT42&lt;&gt;0,Database!AT42/Database!AT$46,"")</f>
        <v>0.43164964719625232</v>
      </c>
      <c r="AU17" s="122">
        <f>IF(Database!AU42&lt;&gt;0,Database!AU42/Database!AU$46,"")</f>
        <v>0.41436653523058464</v>
      </c>
      <c r="AV17" s="122">
        <f>IF(Database!AV42&lt;&gt;0,Database!AV42/Database!AV$46,"")</f>
        <v>0.39563827222888998</v>
      </c>
      <c r="AW17" s="472">
        <f>IF(Database!AW42&lt;&gt;0,Database!AW42/Database!AW$46,"")</f>
        <v>0.40543893494175681</v>
      </c>
      <c r="AX17" s="122">
        <f>IF(Database!AX42&lt;&gt;0,Database!AX42/Database!AX$46,"")</f>
        <v>0.38360340805574766</v>
      </c>
      <c r="AY17" s="122">
        <f>IF(Database!AY42&lt;&gt;0,Database!AY42/Database!AY$46,"")</f>
        <v>0.37402103431732275</v>
      </c>
      <c r="AZ17" s="472">
        <f>IF(Database!AZ42&lt;&gt;0,Database!AZ42/Database!AZ$46,"")</f>
        <v>0.37887013391507796</v>
      </c>
    </row>
    <row r="18" spans="1:52" s="87" customFormat="1" ht="14.5" thickBot="1" x14ac:dyDescent="0.35">
      <c r="A18" s="46"/>
      <c r="B18" s="82" t="s">
        <v>115</v>
      </c>
      <c r="C18" s="83"/>
      <c r="D18" s="83"/>
      <c r="E18" s="83"/>
      <c r="F18" s="83"/>
      <c r="G18" s="83"/>
      <c r="H18" s="83"/>
      <c r="I18" s="83"/>
      <c r="J18" s="83"/>
      <c r="K18" s="83"/>
      <c r="L18" s="83"/>
      <c r="M18" s="83"/>
      <c r="N18" s="83"/>
      <c r="O18" s="83"/>
      <c r="P18" s="83"/>
      <c r="Q18" s="83"/>
      <c r="R18" s="83"/>
      <c r="S18" s="83"/>
      <c r="T18" s="84">
        <f>IF(Database!T46&lt;&gt;0,Database!T46/Database!T$46,"")</f>
        <v>1</v>
      </c>
      <c r="U18" s="84">
        <f>IF(Database!U46&lt;&gt;0,Database!U46/Database!U$46,"")</f>
        <v>1</v>
      </c>
      <c r="V18" s="395">
        <f>IF(Database!V46&lt;&gt;0,Database!V46/Database!V$46,"")</f>
        <v>1</v>
      </c>
      <c r="W18" s="84">
        <f>IF(Database!W46&lt;&gt;0,Database!W46/Database!W$46,"")</f>
        <v>1</v>
      </c>
      <c r="X18" s="84">
        <f>IF(Database!X46&lt;&gt;0,Database!X46/Database!X$46,"")</f>
        <v>1</v>
      </c>
      <c r="Y18" s="395">
        <f>IF(Database!Y46&lt;&gt;0,Database!Y46/Database!Y$46,"")</f>
        <v>1</v>
      </c>
      <c r="Z18" s="84">
        <f>IF(Database!Z46&lt;&gt;0,Database!Z46/Database!Z$46,"")</f>
        <v>1</v>
      </c>
      <c r="AA18" s="84">
        <f>IF(Database!AA46&lt;&gt;0,Database!AA46/Database!AA$46,"")</f>
        <v>1</v>
      </c>
      <c r="AB18" s="395">
        <f>IF(Database!AB46&lt;&gt;0,Database!AB46/Database!AB$46,"")</f>
        <v>1</v>
      </c>
      <c r="AC18" s="84">
        <f>IF(Database!AC46&lt;&gt;0,Database!AC46/Database!AC$46,"")</f>
        <v>1</v>
      </c>
      <c r="AD18" s="84">
        <f>IF(Database!AD46&lt;&gt;0,Database!AD46/Database!AD$46,"")</f>
        <v>1</v>
      </c>
      <c r="AE18" s="395">
        <f>IF(Database!AE46&lt;&gt;0,Database!AE46/Database!AE$46,"")</f>
        <v>1</v>
      </c>
      <c r="AF18" s="84">
        <f>IF(Database!AF46&lt;&gt;0,Database!AF46/Database!AF$46,"")</f>
        <v>1</v>
      </c>
      <c r="AG18" s="84">
        <f>IF(Database!AG46&lt;&gt;0,Database!AG46/Database!AG$46,"")</f>
        <v>1</v>
      </c>
      <c r="AH18" s="395">
        <f>IF(Database!AH46&lt;&gt;0,Database!AH46/Database!AH$46,"")</f>
        <v>1</v>
      </c>
      <c r="AI18" s="84">
        <f>IF(Database!AI46&lt;&gt;0,Database!AI46/Database!AI$46,"")</f>
        <v>1</v>
      </c>
      <c r="AJ18" s="84">
        <f>IF(Database!AJ46&lt;&gt;0,Database!AJ46/Database!AJ$46,"")</f>
        <v>1</v>
      </c>
      <c r="AK18" s="395">
        <f>IF(Database!AK46&lt;&gt;0,Database!AK46/Database!AK$46,"")</f>
        <v>1</v>
      </c>
      <c r="AL18" s="84">
        <f>IF(Database!AL46&lt;&gt;0,Database!AL46/Database!AL$46,"")</f>
        <v>1</v>
      </c>
      <c r="AM18" s="84">
        <f>IF(Database!AM46&lt;&gt;0,Database!AM46/Database!AM$46,"")</f>
        <v>1</v>
      </c>
      <c r="AN18" s="395">
        <f>IF(Database!AN46&lt;&gt;0,Database!AN46/Database!AN$46,"")</f>
        <v>1</v>
      </c>
      <c r="AO18" s="84">
        <f>IF(Database!AO46&lt;&gt;0,Database!AO46/Database!AO$46,"")</f>
        <v>1</v>
      </c>
      <c r="AP18" s="84">
        <f>IF(Database!AP46&lt;&gt;0,Database!AP46/Database!AP$46,"")</f>
        <v>1</v>
      </c>
      <c r="AQ18" s="395">
        <f>IF(Database!AQ46&lt;&gt;0,Database!AQ46/Database!AQ$46,"")</f>
        <v>1</v>
      </c>
      <c r="AR18" s="84">
        <f>IF(Database!AR46&lt;&gt;0,Database!AR46/Database!AR$46,"")</f>
        <v>1</v>
      </c>
      <c r="AS18" s="84">
        <f>IF(Database!AS46&lt;&gt;0,Database!AS46/Database!AS$46,"")</f>
        <v>1</v>
      </c>
      <c r="AT18" s="395">
        <f>IF(Database!AT46&lt;&gt;0,Database!AT46/Database!AT$46,"")</f>
        <v>1</v>
      </c>
      <c r="AU18" s="84">
        <f>IF(Database!AU46&lt;&gt;0,Database!AU46/Database!AU$46,"")</f>
        <v>1</v>
      </c>
      <c r="AV18" s="84">
        <f>IF(Database!AV46&lt;&gt;0,Database!AV46/Database!AV$46,"")</f>
        <v>1</v>
      </c>
      <c r="AW18" s="395">
        <f>IF(Database!AW46&lt;&gt;0,Database!AW46/Database!AW$46,"")</f>
        <v>1</v>
      </c>
      <c r="AX18" s="84">
        <f>IF(Database!AX46&lt;&gt;0,Database!AX46/Database!AX$46,"")</f>
        <v>1</v>
      </c>
      <c r="AY18" s="84">
        <f>IF(Database!AY46&lt;&gt;0,Database!AY46/Database!AY$46,"")</f>
        <v>1</v>
      </c>
      <c r="AZ18" s="395">
        <f>IF(Database!AZ46&lt;&gt;0,Database!AZ46/Database!AZ$46,"")</f>
        <v>1</v>
      </c>
    </row>
    <row r="19" spans="1:52" ht="14.5" thickTop="1" x14ac:dyDescent="0.3">
      <c r="A19" s="46"/>
      <c r="T19" s="224"/>
      <c r="U19" s="224"/>
      <c r="V19" s="474"/>
      <c r="W19" s="224"/>
      <c r="X19" s="307"/>
      <c r="Y19" s="474"/>
      <c r="Z19" s="307"/>
      <c r="AA19" s="307"/>
      <c r="AB19" s="482"/>
      <c r="AC19" s="307"/>
      <c r="AD19" s="307"/>
      <c r="AE19" s="482"/>
      <c r="AF19" s="307"/>
      <c r="AG19" s="307"/>
      <c r="AH19" s="482"/>
      <c r="AI19" s="307"/>
      <c r="AJ19" s="307"/>
      <c r="AK19" s="482"/>
      <c r="AL19" s="307"/>
      <c r="AM19" s="307"/>
      <c r="AN19" s="482"/>
      <c r="AO19" s="307"/>
      <c r="AP19" s="274"/>
      <c r="AQ19" s="482"/>
      <c r="AR19" s="307"/>
      <c r="AS19" s="307"/>
      <c r="AT19" s="482"/>
      <c r="AU19" s="307"/>
      <c r="AV19" s="307"/>
      <c r="AW19" s="482"/>
      <c r="AX19" s="307"/>
      <c r="AY19" s="307"/>
      <c r="AZ19" s="482"/>
    </row>
    <row r="20" spans="1:52" s="138" customFormat="1" x14ac:dyDescent="0.3">
      <c r="A20" s="21"/>
      <c r="B20" s="487" t="s">
        <v>494</v>
      </c>
      <c r="C20" s="487"/>
      <c r="D20" s="487"/>
      <c r="E20" s="487"/>
      <c r="F20" s="487"/>
      <c r="G20" s="487"/>
      <c r="H20" s="487"/>
      <c r="I20" s="487"/>
      <c r="J20" s="487"/>
      <c r="K20" s="487"/>
      <c r="L20" s="487"/>
      <c r="M20" s="487"/>
      <c r="N20" s="487"/>
      <c r="O20" s="487"/>
      <c r="P20" s="487"/>
      <c r="Q20" s="487"/>
      <c r="R20" s="487"/>
      <c r="S20" s="487"/>
      <c r="T20" s="487"/>
      <c r="U20" s="487"/>
      <c r="V20" s="488"/>
      <c r="W20" s="487"/>
      <c r="X20" s="489"/>
      <c r="Y20" s="488"/>
      <c r="Z20" s="489"/>
      <c r="AA20" s="489"/>
      <c r="AB20" s="490"/>
      <c r="AC20" s="489"/>
      <c r="AD20" s="489"/>
      <c r="AE20" s="490"/>
      <c r="AF20" s="489"/>
      <c r="AG20" s="489"/>
      <c r="AH20" s="490"/>
      <c r="AI20" s="489"/>
      <c r="AJ20" s="489"/>
      <c r="AK20" s="490"/>
      <c r="AL20" s="489"/>
      <c r="AM20" s="489"/>
      <c r="AN20" s="490"/>
      <c r="AO20" s="489"/>
      <c r="AP20" s="489"/>
      <c r="AQ20" s="490"/>
      <c r="AR20" s="489"/>
      <c r="AS20" s="489"/>
      <c r="AT20" s="490"/>
      <c r="AU20" s="489"/>
      <c r="AV20" s="489"/>
      <c r="AW20" s="490"/>
      <c r="AX20" s="489"/>
      <c r="AY20" s="489"/>
      <c r="AZ20" s="490"/>
    </row>
    <row r="21" spans="1:52" s="35" customFormat="1" ht="14.5" x14ac:dyDescent="0.35">
      <c r="A21" s="25"/>
      <c r="B21" s="120" t="s">
        <v>113</v>
      </c>
      <c r="C21" s="121"/>
      <c r="D21" s="121"/>
      <c r="E21" s="121"/>
      <c r="F21" s="121"/>
      <c r="G21" s="121"/>
      <c r="H21" s="121"/>
      <c r="I21" s="121"/>
      <c r="J21" s="121"/>
      <c r="K21" s="121"/>
      <c r="L21" s="121"/>
      <c r="M21" s="121"/>
      <c r="N21" s="121"/>
      <c r="O21" s="121"/>
      <c r="P21" s="121"/>
      <c r="Q21" s="121"/>
      <c r="R21" s="121"/>
      <c r="S21" s="121"/>
      <c r="T21" s="122">
        <f>IF(Database!T24&lt;&gt;0,Database!T24/Database!T$32,"")</f>
        <v>0.35191456108361552</v>
      </c>
      <c r="U21" s="122">
        <f>IF(Database!U24&lt;&gt;0,Database!U24/Database!U$32,"")</f>
        <v>0.35971601367341577</v>
      </c>
      <c r="V21" s="396">
        <f>IF(Database!V24&lt;&gt;0,Database!V24/Database!V$32,"")</f>
        <v>0.35579691180319284</v>
      </c>
      <c r="W21" s="122">
        <f>IF(Database!W24&lt;&gt;0,Database!W24/Database!W$32,"")</f>
        <v>0.35122197026958935</v>
      </c>
      <c r="X21" s="122">
        <f>IF(Database!X24&lt;&gt;0,Database!X24/Database!X$32,"")</f>
        <v>0.32002902757619739</v>
      </c>
      <c r="Y21" s="396">
        <f>IF(Database!Y24&lt;&gt;0,Database!Y24/Database!Y$32,"")</f>
        <v>0.33530791065037641</v>
      </c>
      <c r="Z21" s="122">
        <f>IF(Database!Z24&lt;&gt;0,Database!Z24/Database!Z$32,"")</f>
        <v>0.27089151450053706</v>
      </c>
      <c r="AA21" s="122">
        <f>IF(Database!AA24&lt;&gt;0,Database!AA24/Database!AA$32,"")</f>
        <v>0.25925168677162136</v>
      </c>
      <c r="AB21" s="396">
        <f>IF(Database!AB24&lt;&gt;0,ROUNDUP(Database!AB24/Database!AB$32,2),"")</f>
        <v>0.27</v>
      </c>
      <c r="AC21" s="122">
        <f>IF(Database!AC24&lt;&gt;0,Database!AC24/Database!AC$32,"")</f>
        <v>0.24248763788512745</v>
      </c>
      <c r="AD21" s="122">
        <f>IF(Database!AD24&lt;&gt;0,Database!AD24/Database!AD$32,"")</f>
        <v>0.23893967093235829</v>
      </c>
      <c r="AE21" s="396">
        <f>IF(Database!AE24&lt;&gt;0,Database!AE24/Database!AE$32,"")</f>
        <v>0.24067859806114839</v>
      </c>
      <c r="AF21" s="122">
        <f>IF(Database!AF24&lt;&gt;0,Database!AF24/Database!AF$32,"")</f>
        <v>0.23186619718309856</v>
      </c>
      <c r="AG21" s="122">
        <f>IF(Database!AG24&lt;&gt;0,Database!AG24/Database!AG$32,"")</f>
        <v>0.23517892113227698</v>
      </c>
      <c r="AH21" s="396">
        <f>IF(Database!AH24&lt;&gt;0,Database!AH24/Database!AH$32,"")</f>
        <v>0.23351332212091705</v>
      </c>
      <c r="AI21" s="122">
        <f>IF(Database!AI24&lt;&gt;0,Database!AI24/Database!AI$32,"")</f>
        <v>0.22907250045199781</v>
      </c>
      <c r="AJ21" s="122">
        <f>IF(Database!AJ24&lt;&gt;0,Database!AJ24/Database!AJ$32,"")</f>
        <v>0.22320018054615212</v>
      </c>
      <c r="AK21" s="396">
        <f>IF(Database!AK24&lt;&gt;0,Database!AK24/Database!AK$32,"")</f>
        <v>0.2264605500903433</v>
      </c>
      <c r="AL21" s="122">
        <f>IF(Database!AL24&lt;&gt;0,Database!AL24/Database!AL$32,"")</f>
        <v>0.2185430463576159</v>
      </c>
      <c r="AM21" s="122">
        <f>IF(Database!AM24&lt;&gt;0,Database!AM24/Database!AM$32,"")</f>
        <v>0.21946295174641631</v>
      </c>
      <c r="AN21" s="396">
        <f>IF(Database!AN24&lt;&gt;0,Database!AN24/Database!AN$32,"")</f>
        <v>0.21903932033547543</v>
      </c>
      <c r="AO21" s="122">
        <f>IF(Database!AO24&lt;&gt;0,Database!AO24/Database!AO$32,"")</f>
        <v>0.22607465062798515</v>
      </c>
      <c r="AP21" s="122">
        <f>IF(Database!AP24&lt;&gt;0,Database!AP24/Database!AP$32,"")</f>
        <v>0.21711264220477486</v>
      </c>
      <c r="AQ21" s="396">
        <f>IF(Database!AQ24&lt;&gt;0,Database!AQ24/Database!AQ$32,"")</f>
        <v>0.22137212039683873</v>
      </c>
      <c r="AR21" s="122">
        <f>IF(Database!AR24&lt;&gt;0,Database!AR24/Database!AR$32,"")</f>
        <v>0.21004398798763763</v>
      </c>
      <c r="AS21" s="122">
        <f>IF(Database!AS24&lt;&gt;0,Database!AS24/Database!AS$32,"")</f>
        <v>0.20104277120511038</v>
      </c>
      <c r="AT21" s="396">
        <f>IF(Database!AT24&lt;&gt;0,Database!AT24/Database!AT$32,"")</f>
        <v>0.20557547349291791</v>
      </c>
      <c r="AU21" s="122">
        <f>IF(Database!AU24&lt;&gt;0,Database!AU24/Database!AU$32,"")</f>
        <v>0.20246871249785703</v>
      </c>
      <c r="AV21" s="122">
        <f>IF(Database!AV24&lt;&gt;0,Database!AV24/Database!AV$32,"")</f>
        <v>0.20286333680502339</v>
      </c>
      <c r="AW21" s="396">
        <f>IF(Database!AW24&lt;&gt;0,Database!AW24/Database!AW$32,"")</f>
        <v>0.20265693795573891</v>
      </c>
      <c r="AX21" s="122">
        <f>IF(Database!AX24&lt;&gt;0,Database!AX24/Database!AX$32,"")</f>
        <v>0.19646004164236625</v>
      </c>
      <c r="AY21" s="122">
        <f>IF(Database!AY24&lt;&gt;0,Database!AY24/Database!AY$32,"")</f>
        <v>0.19888696833132355</v>
      </c>
      <c r="AZ21" s="396">
        <f>IF(Database!AZ24&lt;&gt;0,Database!AZ24/Database!AZ$32,"")</f>
        <v>0.19762864144263434</v>
      </c>
    </row>
    <row r="22" spans="1:52" s="35" customFormat="1" ht="14.5" x14ac:dyDescent="0.3">
      <c r="A22" s="46"/>
      <c r="B22" s="120" t="s">
        <v>495</v>
      </c>
      <c r="C22" s="121"/>
      <c r="D22" s="121"/>
      <c r="E22" s="121"/>
      <c r="F22" s="121"/>
      <c r="G22" s="121"/>
      <c r="H22" s="121"/>
      <c r="I22" s="121"/>
      <c r="J22" s="121"/>
      <c r="K22" s="121"/>
      <c r="L22" s="121"/>
      <c r="M22" s="121"/>
      <c r="N22" s="121"/>
      <c r="O22" s="121"/>
      <c r="P22" s="121"/>
      <c r="Q22" s="121"/>
      <c r="R22" s="121"/>
      <c r="S22" s="121"/>
      <c r="T22" s="122">
        <f t="shared" ref="T22:AF22" si="1">T23-T21</f>
        <v>0.64808543891638448</v>
      </c>
      <c r="U22" s="122">
        <f t="shared" si="1"/>
        <v>0.64028398632658423</v>
      </c>
      <c r="V22" s="472">
        <f t="shared" si="1"/>
        <v>0.64420308819680716</v>
      </c>
      <c r="W22" s="122">
        <f t="shared" si="1"/>
        <v>0.64877802973041065</v>
      </c>
      <c r="X22" s="122">
        <f t="shared" si="1"/>
        <v>0.67997097242380256</v>
      </c>
      <c r="Y22" s="472">
        <f t="shared" si="1"/>
        <v>0.66469208934962354</v>
      </c>
      <c r="Z22" s="122">
        <f t="shared" si="1"/>
        <v>0.72910848549946294</v>
      </c>
      <c r="AA22" s="122">
        <f t="shared" si="1"/>
        <v>0.74074831322837864</v>
      </c>
      <c r="AB22" s="472">
        <f t="shared" si="1"/>
        <v>0.73</v>
      </c>
      <c r="AC22" s="122">
        <f t="shared" si="1"/>
        <v>0.7575123621148725</v>
      </c>
      <c r="AD22" s="122">
        <f t="shared" si="1"/>
        <v>0.76106032906764165</v>
      </c>
      <c r="AE22" s="472">
        <f t="shared" si="1"/>
        <v>0.75932140193885167</v>
      </c>
      <c r="AF22" s="122">
        <f t="shared" si="1"/>
        <v>0.76813380281690147</v>
      </c>
      <c r="AG22" s="122">
        <f t="shared" ref="AG22:AI22" si="2">AG23-AG21</f>
        <v>0.76482107886772299</v>
      </c>
      <c r="AH22" s="472">
        <f t="shared" si="2"/>
        <v>0.76648667787908298</v>
      </c>
      <c r="AI22" s="122">
        <f t="shared" si="2"/>
        <v>0.77092749954800222</v>
      </c>
      <c r="AJ22" s="122">
        <f t="shared" ref="AJ22:AL22" si="3">AJ23-AJ21</f>
        <v>0.77679981945384791</v>
      </c>
      <c r="AK22" s="472">
        <f t="shared" si="3"/>
        <v>0.77353944990965673</v>
      </c>
      <c r="AL22" s="122">
        <f t="shared" si="3"/>
        <v>0.7814569536423841</v>
      </c>
      <c r="AM22" s="122">
        <f t="shared" ref="AM22" si="4">AM23-AM21</f>
        <v>0.78053704825358372</v>
      </c>
      <c r="AN22" s="472">
        <f t="shared" ref="AN22:AO22" si="5">AN23-AN21</f>
        <v>0.78096067966452454</v>
      </c>
      <c r="AO22" s="122">
        <f t="shared" si="5"/>
        <v>0.77392534937201485</v>
      </c>
      <c r="AP22" s="122">
        <f t="shared" ref="AP22" si="6">AP23-AP21</f>
        <v>0.78288735779522511</v>
      </c>
      <c r="AQ22" s="472">
        <f t="shared" ref="AQ22:AR22" si="7">AQ23-AQ21</f>
        <v>0.77862787960316127</v>
      </c>
      <c r="AR22" s="122">
        <f t="shared" si="7"/>
        <v>0.78995601201236232</v>
      </c>
      <c r="AS22" s="122">
        <f t="shared" ref="AS22:AU22" si="8">AS23-AS21</f>
        <v>0.79895722879488962</v>
      </c>
      <c r="AT22" s="472">
        <f t="shared" si="8"/>
        <v>0.79442452650708206</v>
      </c>
      <c r="AU22" s="122">
        <f t="shared" si="8"/>
        <v>0.79753128750214297</v>
      </c>
      <c r="AV22" s="122">
        <f t="shared" ref="AV22:AY22" si="9">AV23-AV21</f>
        <v>0.79713666319497656</v>
      </c>
      <c r="AW22" s="472">
        <f t="shared" si="9"/>
        <v>0.79734306204426109</v>
      </c>
      <c r="AX22" s="122">
        <f t="shared" si="9"/>
        <v>0.8035399583576337</v>
      </c>
      <c r="AY22" s="122">
        <f t="shared" si="9"/>
        <v>0.80111303166867642</v>
      </c>
      <c r="AZ22" s="472">
        <f t="shared" ref="AZ22" si="10">AZ23-AZ21</f>
        <v>0.80237135855736563</v>
      </c>
    </row>
    <row r="23" spans="1:52" s="87" customFormat="1" ht="14.5" thickBot="1" x14ac:dyDescent="0.35">
      <c r="A23" s="46"/>
      <c r="B23" s="82" t="s">
        <v>115</v>
      </c>
      <c r="C23" s="83"/>
      <c r="D23" s="83"/>
      <c r="E23" s="83"/>
      <c r="F23" s="83"/>
      <c r="G23" s="83"/>
      <c r="H23" s="83"/>
      <c r="I23" s="83"/>
      <c r="J23" s="83"/>
      <c r="K23" s="83"/>
      <c r="L23" s="83"/>
      <c r="M23" s="83"/>
      <c r="N23" s="83"/>
      <c r="O23" s="83"/>
      <c r="P23" s="83"/>
      <c r="Q23" s="83"/>
      <c r="R23" s="83"/>
      <c r="S23" s="83"/>
      <c r="T23" s="84">
        <f t="shared" ref="T23:AF23" si="11">T18</f>
        <v>1</v>
      </c>
      <c r="U23" s="84">
        <f t="shared" si="11"/>
        <v>1</v>
      </c>
      <c r="V23" s="395">
        <f t="shared" si="11"/>
        <v>1</v>
      </c>
      <c r="W23" s="84">
        <f t="shared" si="11"/>
        <v>1</v>
      </c>
      <c r="X23" s="84">
        <f t="shared" si="11"/>
        <v>1</v>
      </c>
      <c r="Y23" s="395">
        <f t="shared" si="11"/>
        <v>1</v>
      </c>
      <c r="Z23" s="84">
        <f t="shared" si="11"/>
        <v>1</v>
      </c>
      <c r="AA23" s="84">
        <f t="shared" si="11"/>
        <v>1</v>
      </c>
      <c r="AB23" s="395">
        <f t="shared" si="11"/>
        <v>1</v>
      </c>
      <c r="AC23" s="84">
        <f t="shared" si="11"/>
        <v>1</v>
      </c>
      <c r="AD23" s="84">
        <f t="shared" si="11"/>
        <v>1</v>
      </c>
      <c r="AE23" s="395">
        <f t="shared" si="11"/>
        <v>1</v>
      </c>
      <c r="AF23" s="84">
        <f t="shared" si="11"/>
        <v>1</v>
      </c>
      <c r="AG23" s="84">
        <f t="shared" ref="AG23:AI23" si="12">AG18</f>
        <v>1</v>
      </c>
      <c r="AH23" s="395">
        <f t="shared" si="12"/>
        <v>1</v>
      </c>
      <c r="AI23" s="84">
        <f t="shared" si="12"/>
        <v>1</v>
      </c>
      <c r="AJ23" s="84">
        <f t="shared" ref="AJ23:AL23" si="13">AJ18</f>
        <v>1</v>
      </c>
      <c r="AK23" s="395">
        <f t="shared" si="13"/>
        <v>1</v>
      </c>
      <c r="AL23" s="84">
        <f t="shared" si="13"/>
        <v>1</v>
      </c>
      <c r="AM23" s="84">
        <f t="shared" ref="AM23" si="14">AM18</f>
        <v>1</v>
      </c>
      <c r="AN23" s="395">
        <f t="shared" ref="AN23:AO23" si="15">AN18</f>
        <v>1</v>
      </c>
      <c r="AO23" s="84">
        <f t="shared" si="15"/>
        <v>1</v>
      </c>
      <c r="AP23" s="84">
        <f t="shared" ref="AP23" si="16">AP18</f>
        <v>1</v>
      </c>
      <c r="AQ23" s="395">
        <f t="shared" ref="AQ23:AR23" si="17">AQ18</f>
        <v>1</v>
      </c>
      <c r="AR23" s="84">
        <f t="shared" si="17"/>
        <v>1</v>
      </c>
      <c r="AS23" s="84">
        <f t="shared" ref="AS23:AU23" si="18">AS18</f>
        <v>1</v>
      </c>
      <c r="AT23" s="395">
        <f t="shared" si="18"/>
        <v>1</v>
      </c>
      <c r="AU23" s="84">
        <f t="shared" si="18"/>
        <v>1</v>
      </c>
      <c r="AV23" s="84">
        <f t="shared" ref="AV23:AY23" si="19">AV18</f>
        <v>1</v>
      </c>
      <c r="AW23" s="395">
        <f t="shared" si="19"/>
        <v>1</v>
      </c>
      <c r="AX23" s="84">
        <f t="shared" si="19"/>
        <v>1</v>
      </c>
      <c r="AY23" s="84">
        <f t="shared" si="19"/>
        <v>1</v>
      </c>
      <c r="AZ23" s="395">
        <f t="shared" ref="AZ23" si="20">AZ18</f>
        <v>1</v>
      </c>
    </row>
    <row r="24" spans="1:52" ht="14.5" thickTop="1" x14ac:dyDescent="0.3">
      <c r="A24" s="21"/>
      <c r="T24" s="11"/>
      <c r="U24" s="11"/>
      <c r="V24" s="471"/>
      <c r="W24" s="11"/>
      <c r="X24" s="274"/>
      <c r="Y24" s="471"/>
      <c r="Z24" s="274"/>
      <c r="AA24" s="274"/>
      <c r="AB24" s="480"/>
      <c r="AC24" s="274"/>
      <c r="AD24" s="274"/>
      <c r="AE24" s="480"/>
      <c r="AF24" s="274"/>
      <c r="AG24" s="274"/>
      <c r="AH24" s="480"/>
      <c r="AI24" s="274"/>
      <c r="AJ24" s="274"/>
      <c r="AK24" s="480"/>
      <c r="AL24" s="274"/>
      <c r="AM24" s="274"/>
      <c r="AN24" s="480"/>
      <c r="AO24" s="274"/>
      <c r="AP24" s="274"/>
      <c r="AQ24" s="480"/>
      <c r="AR24" s="274"/>
      <c r="AS24" s="274"/>
      <c r="AT24" s="480"/>
      <c r="AU24" s="274"/>
      <c r="AV24" s="274"/>
      <c r="AW24" s="480"/>
      <c r="AX24" s="274"/>
      <c r="AY24" s="274"/>
      <c r="AZ24" s="480"/>
    </row>
    <row r="25" spans="1:52" s="138" customFormat="1" x14ac:dyDescent="0.3">
      <c r="A25" s="25"/>
      <c r="B25" s="487" t="s">
        <v>507</v>
      </c>
      <c r="C25" s="487"/>
      <c r="D25" s="487"/>
      <c r="E25" s="487"/>
      <c r="F25" s="487"/>
      <c r="G25" s="487"/>
      <c r="H25" s="487"/>
      <c r="I25" s="487"/>
      <c r="J25" s="487"/>
      <c r="K25" s="487"/>
      <c r="L25" s="487"/>
      <c r="M25" s="487"/>
      <c r="N25" s="487"/>
      <c r="O25" s="487"/>
      <c r="P25" s="487"/>
      <c r="Q25" s="487"/>
      <c r="R25" s="487"/>
      <c r="S25" s="487"/>
      <c r="T25" s="487"/>
      <c r="U25" s="487"/>
      <c r="V25" s="488"/>
      <c r="W25" s="487"/>
      <c r="X25" s="489"/>
      <c r="Y25" s="488"/>
      <c r="Z25" s="489"/>
      <c r="AA25" s="489"/>
      <c r="AB25" s="490"/>
      <c r="AC25" s="489"/>
      <c r="AD25" s="489"/>
      <c r="AE25" s="490"/>
      <c r="AF25" s="489"/>
      <c r="AG25" s="489"/>
      <c r="AH25" s="490"/>
      <c r="AI25" s="489"/>
      <c r="AJ25" s="489"/>
      <c r="AK25" s="490"/>
      <c r="AL25" s="489"/>
      <c r="AM25" s="489"/>
      <c r="AN25" s="490"/>
      <c r="AO25" s="489"/>
      <c r="AP25" s="489"/>
      <c r="AQ25" s="490"/>
      <c r="AR25" s="489"/>
      <c r="AS25" s="489"/>
      <c r="AT25" s="490"/>
      <c r="AU25" s="489"/>
      <c r="AV25" s="489"/>
      <c r="AW25" s="490"/>
      <c r="AX25" s="489"/>
      <c r="AY25" s="489"/>
      <c r="AZ25" s="490"/>
    </row>
    <row r="26" spans="1:52" s="35" customFormat="1" ht="14.5" x14ac:dyDescent="0.35">
      <c r="A26" s="46"/>
      <c r="B26" s="120" t="s">
        <v>704</v>
      </c>
      <c r="C26" s="121"/>
      <c r="D26" s="121"/>
      <c r="E26" s="121"/>
      <c r="F26" s="121"/>
      <c r="G26" s="121"/>
      <c r="H26" s="121"/>
      <c r="I26" s="121"/>
      <c r="J26" s="121"/>
      <c r="K26" s="121"/>
      <c r="L26" s="121"/>
      <c r="M26" s="121"/>
      <c r="N26" s="121"/>
      <c r="O26" s="121"/>
      <c r="P26" s="121"/>
      <c r="Q26" s="121"/>
      <c r="R26" s="121"/>
      <c r="S26" s="121"/>
      <c r="T26" s="122"/>
      <c r="U26" s="122"/>
      <c r="V26" s="396">
        <v>0.18</v>
      </c>
      <c r="W26" s="122"/>
      <c r="X26" s="122"/>
      <c r="Y26" s="396">
        <v>0.2</v>
      </c>
      <c r="Z26" s="122">
        <v>0.21</v>
      </c>
      <c r="AA26" s="122">
        <f>((AB26*Database!AB$32)-(Z26*Database!Z$32))/Database!AA$32</f>
        <v>0.21000000000000002</v>
      </c>
      <c r="AB26" s="396">
        <v>0.21</v>
      </c>
      <c r="AC26" s="122">
        <v>0.21</v>
      </c>
      <c r="AD26" s="122">
        <f>((AE26*Database!AE$32)-(AC26*Database!AC$32))/Database!AD$32</f>
        <v>0.21</v>
      </c>
      <c r="AE26" s="396">
        <v>0.21</v>
      </c>
      <c r="AF26" s="122">
        <v>0.22</v>
      </c>
      <c r="AG26" s="122">
        <f>((AH26*Database!AH$32)-(AF26*Database!AF$32))/Database!AG$32</f>
        <v>0.24011215951575579</v>
      </c>
      <c r="AH26" s="396">
        <v>0.23</v>
      </c>
      <c r="AI26" s="122">
        <v>0.22</v>
      </c>
      <c r="AJ26" s="122">
        <f>((AK26*Database!AK$32)-(AI26*Database!AI$32))/Database!AJ$32</f>
        <v>0.28744752877454299</v>
      </c>
      <c r="AK26" s="396">
        <v>0.25</v>
      </c>
      <c r="AL26" s="122">
        <v>0.26</v>
      </c>
      <c r="AM26" s="122">
        <f>((AN26*Database!AN$32)-(AL26*Database!AL$32))/Database!AM$32</f>
        <v>0.26</v>
      </c>
      <c r="AN26" s="396">
        <v>0.26</v>
      </c>
      <c r="AO26" s="122">
        <v>0.25</v>
      </c>
      <c r="AP26" s="122">
        <f>((AQ26*Database!AQ$32)-(AO26*Database!AO$32))/Database!AP$32</f>
        <v>0.2690578432943439</v>
      </c>
      <c r="AQ26" s="396">
        <v>0.26</v>
      </c>
      <c r="AR26" s="122">
        <v>0.26</v>
      </c>
      <c r="AS26" s="122">
        <v>0.26</v>
      </c>
      <c r="AT26" s="396">
        <v>0.26</v>
      </c>
      <c r="AU26" s="122">
        <v>0.25</v>
      </c>
      <c r="AV26" s="122">
        <v>0.25</v>
      </c>
      <c r="AW26" s="396">
        <v>0.25</v>
      </c>
      <c r="AX26" s="122">
        <v>0.25</v>
      </c>
      <c r="AY26" s="122">
        <v>0.25</v>
      </c>
      <c r="AZ26" s="396">
        <v>0.25</v>
      </c>
    </row>
    <row r="27" spans="1:52" s="35" customFormat="1" ht="14.5" x14ac:dyDescent="0.35">
      <c r="A27" s="46"/>
      <c r="B27" s="120" t="s">
        <v>496</v>
      </c>
      <c r="C27" s="121"/>
      <c r="D27" s="121"/>
      <c r="E27" s="121"/>
      <c r="F27" s="121"/>
      <c r="G27" s="121"/>
      <c r="H27" s="121"/>
      <c r="I27" s="121"/>
      <c r="J27" s="121"/>
      <c r="K27" s="121"/>
      <c r="L27" s="121"/>
      <c r="M27" s="121"/>
      <c r="N27" s="121"/>
      <c r="O27" s="121"/>
      <c r="P27" s="121"/>
      <c r="Q27" s="121"/>
      <c r="R27" s="121"/>
      <c r="S27" s="121"/>
      <c r="T27" s="122"/>
      <c r="U27" s="122"/>
      <c r="V27" s="396">
        <v>0.16</v>
      </c>
      <c r="W27" s="122"/>
      <c r="X27" s="122"/>
      <c r="Y27" s="396">
        <v>0.15</v>
      </c>
      <c r="Z27" s="122">
        <v>0.15</v>
      </c>
      <c r="AA27" s="122">
        <f>((AB27*Database!AB$32)-(Z27*Database!Z$32))/Database!AA$32</f>
        <v>0.15000000000000005</v>
      </c>
      <c r="AB27" s="396">
        <v>0.15</v>
      </c>
      <c r="AC27" s="122">
        <v>0.15</v>
      </c>
      <c r="AD27" s="122">
        <f>((AE27*Database!AE$32)-(AC27*Database!AC$32))/Database!AD$32</f>
        <v>0.15</v>
      </c>
      <c r="AE27" s="396">
        <v>0.15</v>
      </c>
      <c r="AF27" s="122">
        <v>0.15</v>
      </c>
      <c r="AG27" s="122">
        <f>((AH27*Database!AH$32)-(AF27*Database!AF$32))/Database!AG$32</f>
        <v>0.15</v>
      </c>
      <c r="AH27" s="396">
        <v>0.15</v>
      </c>
      <c r="AI27" s="122">
        <v>0.15</v>
      </c>
      <c r="AJ27" s="122">
        <f>((AK27*Database!AK$32)-(AI27*Database!AI$32))/Database!AJ$32</f>
        <v>0.15</v>
      </c>
      <c r="AK27" s="396">
        <v>0.15</v>
      </c>
      <c r="AL27" s="122">
        <v>0.14000000000000001</v>
      </c>
      <c r="AM27" s="122">
        <f>((AN27*Database!AN$32)-(AL27*Database!AL$32))/Database!AM$32</f>
        <v>0.14000000000000001</v>
      </c>
      <c r="AN27" s="396">
        <v>0.14000000000000001</v>
      </c>
      <c r="AO27" s="122">
        <v>0.14000000000000001</v>
      </c>
      <c r="AP27" s="122">
        <f>((AQ27*Database!AQ$32)-(AO27*Database!AO$32))/Database!AP$32</f>
        <v>0.14000000000000004</v>
      </c>
      <c r="AQ27" s="396">
        <v>0.14000000000000001</v>
      </c>
      <c r="AR27" s="122">
        <v>0.14000000000000001</v>
      </c>
      <c r="AS27" s="122">
        <v>0.14000000000000001</v>
      </c>
      <c r="AT27" s="396">
        <v>0.14000000000000001</v>
      </c>
      <c r="AU27" s="122">
        <v>0.15</v>
      </c>
      <c r="AV27" s="122">
        <v>0.15</v>
      </c>
      <c r="AW27" s="396">
        <v>0.15</v>
      </c>
      <c r="AX27" s="122">
        <v>0.15</v>
      </c>
      <c r="AY27" s="122">
        <v>0.15</v>
      </c>
      <c r="AZ27" s="396">
        <v>0.15</v>
      </c>
    </row>
    <row r="28" spans="1:52" s="35" customFormat="1" ht="14.5" x14ac:dyDescent="0.35">
      <c r="A28" s="27"/>
      <c r="B28" s="120" t="s">
        <v>497</v>
      </c>
      <c r="C28" s="121"/>
      <c r="D28" s="121"/>
      <c r="E28" s="121"/>
      <c r="F28" s="121"/>
      <c r="G28" s="121"/>
      <c r="H28" s="121"/>
      <c r="I28" s="121"/>
      <c r="J28" s="121"/>
      <c r="K28" s="121"/>
      <c r="L28" s="121"/>
      <c r="M28" s="121"/>
      <c r="N28" s="121"/>
      <c r="O28" s="121"/>
      <c r="P28" s="121"/>
      <c r="Q28" s="121"/>
      <c r="R28" s="121"/>
      <c r="S28" s="121"/>
      <c r="T28" s="122"/>
      <c r="U28" s="122"/>
      <c r="V28" s="396">
        <v>0.16</v>
      </c>
      <c r="W28" s="122"/>
      <c r="X28" s="122"/>
      <c r="Y28" s="396">
        <v>0.15</v>
      </c>
      <c r="Z28" s="122">
        <v>0.15</v>
      </c>
      <c r="AA28" s="122">
        <f>((AB28*Database!AB$32)-(Z28*Database!Z$32))/Database!AA$32</f>
        <v>0.15000000000000005</v>
      </c>
      <c r="AB28" s="396">
        <v>0.15</v>
      </c>
      <c r="AC28" s="122">
        <v>0.15</v>
      </c>
      <c r="AD28" s="122">
        <f>((AE28*Database!AE$32)-(AC28*Database!AC$32))/Database!AD$32</f>
        <v>0.13038756855575873</v>
      </c>
      <c r="AE28" s="396">
        <v>0.14000000000000001</v>
      </c>
      <c r="AF28" s="122">
        <v>0.14000000000000001</v>
      </c>
      <c r="AG28" s="122">
        <f>((AH28*Database!AH$32)-(AF28*Database!AF$32))/Database!AG$32</f>
        <v>0.11988784048424427</v>
      </c>
      <c r="AH28" s="396">
        <v>0.13</v>
      </c>
      <c r="AI28" s="122">
        <v>0.14000000000000001</v>
      </c>
      <c r="AJ28" s="122">
        <f>((AK28*Database!AK$32)-(AI28*Database!AI$32))/Database!AJ$32</f>
        <v>9.5034980816971301E-2</v>
      </c>
      <c r="AK28" s="396">
        <v>0.12</v>
      </c>
      <c r="AL28" s="122">
        <v>0.12</v>
      </c>
      <c r="AM28" s="122">
        <f>((AN28*Database!AN$32)-(AL28*Database!AL$32))/Database!AM$32</f>
        <v>0.12</v>
      </c>
      <c r="AN28" s="396">
        <v>0.12</v>
      </c>
      <c r="AO28" s="122">
        <v>0.11</v>
      </c>
      <c r="AP28" s="122">
        <f>((AQ28*Database!AQ$32)-(AO28*Database!AO$32))/Database!AP$32</f>
        <v>0.11000000000000001</v>
      </c>
      <c r="AQ28" s="396">
        <v>0.11</v>
      </c>
      <c r="AR28" s="122">
        <v>0.11</v>
      </c>
      <c r="AS28" s="122">
        <v>0.11</v>
      </c>
      <c r="AT28" s="396">
        <v>0.11</v>
      </c>
      <c r="AU28" s="122">
        <v>0.1</v>
      </c>
      <c r="AV28" s="122">
        <v>0.1</v>
      </c>
      <c r="AW28" s="396">
        <v>0.1</v>
      </c>
      <c r="AX28" s="122">
        <v>0.11</v>
      </c>
      <c r="AY28" s="122">
        <v>0.11</v>
      </c>
      <c r="AZ28" s="396">
        <v>0.11</v>
      </c>
    </row>
    <row r="29" spans="1:52" s="35" customFormat="1" ht="14.5" x14ac:dyDescent="0.35">
      <c r="A29" s="25"/>
      <c r="B29" s="120" t="s">
        <v>498</v>
      </c>
      <c r="C29" s="121"/>
      <c r="D29" s="121"/>
      <c r="E29" s="121"/>
      <c r="F29" s="121"/>
      <c r="G29" s="121"/>
      <c r="H29" s="121"/>
      <c r="I29" s="121"/>
      <c r="J29" s="121"/>
      <c r="K29" s="121"/>
      <c r="L29" s="121"/>
      <c r="M29" s="121"/>
      <c r="N29" s="121"/>
      <c r="O29" s="121"/>
      <c r="P29" s="121"/>
      <c r="Q29" s="121"/>
      <c r="R29" s="121"/>
      <c r="S29" s="121"/>
      <c r="T29" s="122"/>
      <c r="U29" s="122"/>
      <c r="V29" s="396">
        <v>0.08</v>
      </c>
      <c r="W29" s="122"/>
      <c r="X29" s="122"/>
      <c r="Y29" s="396">
        <v>0.08</v>
      </c>
      <c r="Z29" s="122">
        <v>0.09</v>
      </c>
      <c r="AA29" s="122">
        <f>((AB29*Database!AB$32)-(Z29*Database!Z$32))/Database!AA$32</f>
        <v>9.0000000000000038E-2</v>
      </c>
      <c r="AB29" s="396">
        <v>0.09</v>
      </c>
      <c r="AC29" s="122">
        <v>0.09</v>
      </c>
      <c r="AD29" s="122">
        <f>((AE29*Database!AE$32)-(AC29*Database!AC$32))/Database!AD$32</f>
        <v>0.09</v>
      </c>
      <c r="AE29" s="396">
        <v>0.09</v>
      </c>
      <c r="AF29" s="122">
        <v>0.09</v>
      </c>
      <c r="AG29" s="122">
        <f>((AH29*Database!AH$32)-(AF29*Database!AF$32))/Database!AG$32</f>
        <v>0.09</v>
      </c>
      <c r="AH29" s="396">
        <v>0.09</v>
      </c>
      <c r="AI29" s="122">
        <v>0.09</v>
      </c>
      <c r="AJ29" s="122">
        <f>((AK29*Database!AK$32)-(AI29*Database!AI$32))/Database!AJ$32</f>
        <v>0.09</v>
      </c>
      <c r="AK29" s="396">
        <v>0.09</v>
      </c>
      <c r="AL29" s="122">
        <v>0.08</v>
      </c>
      <c r="AM29" s="122">
        <f>((AN29*Database!AN$32)-(AL29*Database!AL$32))/Database!AM$32</f>
        <v>9.8536240662224925E-2</v>
      </c>
      <c r="AN29" s="396">
        <v>0.09</v>
      </c>
      <c r="AO29" s="122">
        <v>0.08</v>
      </c>
      <c r="AP29" s="122">
        <f>((AQ29*Database!AQ$32)-(AO29*Database!AO$32))/Database!AP$32</f>
        <v>9.9057843294343861E-2</v>
      </c>
      <c r="AQ29" s="396">
        <v>0.09</v>
      </c>
      <c r="AR29" s="122">
        <v>0.09</v>
      </c>
      <c r="AS29" s="122">
        <v>0.09</v>
      </c>
      <c r="AT29" s="396">
        <v>0.09</v>
      </c>
      <c r="AU29" s="122">
        <v>0.11</v>
      </c>
      <c r="AV29" s="122">
        <v>0.11</v>
      </c>
      <c r="AW29" s="396">
        <v>0.11</v>
      </c>
      <c r="AX29" s="122">
        <v>0.11</v>
      </c>
      <c r="AY29" s="122">
        <v>0.11</v>
      </c>
      <c r="AZ29" s="396">
        <v>0.11</v>
      </c>
    </row>
    <row r="30" spans="1:52" s="35" customFormat="1" ht="14.5" x14ac:dyDescent="0.35">
      <c r="A30" s="30"/>
      <c r="B30" s="120" t="s">
        <v>501</v>
      </c>
      <c r="C30" s="121"/>
      <c r="D30" s="121"/>
      <c r="E30" s="121"/>
      <c r="F30" s="121"/>
      <c r="G30" s="121"/>
      <c r="H30" s="121"/>
      <c r="I30" s="121"/>
      <c r="J30" s="121"/>
      <c r="K30" s="121"/>
      <c r="L30" s="121"/>
      <c r="M30" s="121"/>
      <c r="N30" s="121"/>
      <c r="O30" s="121"/>
      <c r="P30" s="121"/>
      <c r="Q30" s="121"/>
      <c r="R30" s="121"/>
      <c r="S30" s="121"/>
      <c r="T30" s="122"/>
      <c r="U30" s="122"/>
      <c r="V30" s="396">
        <v>0.04</v>
      </c>
      <c r="W30" s="122"/>
      <c r="X30" s="122"/>
      <c r="Y30" s="396">
        <v>0.05</v>
      </c>
      <c r="Z30" s="122">
        <v>0.04</v>
      </c>
      <c r="AA30" s="122">
        <f>((AB30*Database!AB$32)-(Z30*Database!Z$32))/Database!AA$32</f>
        <v>5.951748108771214E-2</v>
      </c>
      <c r="AB30" s="396">
        <v>0.05</v>
      </c>
      <c r="AC30" s="122">
        <v>0.04</v>
      </c>
      <c r="AD30" s="122">
        <f>((AE30*Database!AE$32)-(AC30*Database!AC$32))/Database!AD$32</f>
        <v>0.04</v>
      </c>
      <c r="AE30" s="396">
        <v>0.04</v>
      </c>
      <c r="AF30" s="122">
        <v>0.04</v>
      </c>
      <c r="AG30" s="122">
        <f>((AH30*Database!AH$32)-(AF30*Database!AF$32))/Database!AG$32</f>
        <v>0.04</v>
      </c>
      <c r="AH30" s="396">
        <v>0.04</v>
      </c>
      <c r="AI30" s="122">
        <v>0.04</v>
      </c>
      <c r="AJ30" s="122">
        <f>((AK30*Database!AK$32)-(AI30*Database!AI$32))/Database!AJ$32</f>
        <v>6.2482509591514329E-2</v>
      </c>
      <c r="AK30" s="396">
        <v>0.05</v>
      </c>
      <c r="AL30" s="122">
        <v>0.06</v>
      </c>
      <c r="AM30" s="122">
        <f>((AN30*Database!AN$32)-(AL30*Database!AL$32))/Database!AM$32</f>
        <v>0.06</v>
      </c>
      <c r="AN30" s="396">
        <v>0.06</v>
      </c>
      <c r="AO30" s="122">
        <v>0.05</v>
      </c>
      <c r="AP30" s="122">
        <f>((AQ30*Database!AQ$32)-(AO30*Database!AO$32))/Database!AP$32</f>
        <v>5.000000000000001E-2</v>
      </c>
      <c r="AQ30" s="396">
        <v>0.05</v>
      </c>
      <c r="AR30" s="122">
        <v>0.05</v>
      </c>
      <c r="AS30" s="122">
        <v>0.05</v>
      </c>
      <c r="AT30" s="396">
        <v>0.05</v>
      </c>
      <c r="AU30" s="122">
        <v>0.05</v>
      </c>
      <c r="AV30" s="122">
        <v>0.05</v>
      </c>
      <c r="AW30" s="396">
        <v>0.05</v>
      </c>
      <c r="AX30" s="122">
        <v>0.04</v>
      </c>
      <c r="AY30" s="122">
        <v>0.04</v>
      </c>
      <c r="AZ30" s="396">
        <v>0.04</v>
      </c>
    </row>
    <row r="31" spans="1:52" s="35" customFormat="1" ht="14.5" x14ac:dyDescent="0.35">
      <c r="A31" s="46"/>
      <c r="B31" s="120" t="s">
        <v>499</v>
      </c>
      <c r="C31" s="121"/>
      <c r="D31" s="121"/>
      <c r="E31" s="121"/>
      <c r="F31" s="121"/>
      <c r="G31" s="121"/>
      <c r="H31" s="121"/>
      <c r="I31" s="121"/>
      <c r="J31" s="121"/>
      <c r="K31" s="121"/>
      <c r="L31" s="121"/>
      <c r="M31" s="121"/>
      <c r="N31" s="121"/>
      <c r="O31" s="121"/>
      <c r="P31" s="121"/>
      <c r="Q31" s="121"/>
      <c r="R31" s="121"/>
      <c r="S31" s="121"/>
      <c r="T31" s="122"/>
      <c r="U31" s="122"/>
      <c r="V31" s="396">
        <v>0.08</v>
      </c>
      <c r="W31" s="122"/>
      <c r="X31" s="122"/>
      <c r="Y31" s="396">
        <v>0.08</v>
      </c>
      <c r="Z31" s="122">
        <v>0.08</v>
      </c>
      <c r="AA31" s="122">
        <f>((AB31*Database!AB$32)-(Z31*Database!Z$32))/Database!AA$32</f>
        <v>6.0482518912287904E-2</v>
      </c>
      <c r="AB31" s="396">
        <v>7.0000000000000007E-2</v>
      </c>
      <c r="AC31" s="122">
        <v>0.08</v>
      </c>
      <c r="AD31" s="122">
        <f>((AE31*Database!AE$32)-(AC31*Database!AC$32))/Database!AD$32</f>
        <v>6.0387568555758692E-2</v>
      </c>
      <c r="AE31" s="396">
        <v>7.0000000000000007E-2</v>
      </c>
      <c r="AF31" s="122">
        <v>7.0000000000000007E-2</v>
      </c>
      <c r="AG31" s="122">
        <f>((AH31*Database!AH$32)-(AF31*Database!AF$32))/Database!AG$32</f>
        <v>6.9999999999999993E-2</v>
      </c>
      <c r="AH31" s="396">
        <v>7.0000000000000007E-2</v>
      </c>
      <c r="AI31" s="122">
        <v>7.0000000000000007E-2</v>
      </c>
      <c r="AJ31" s="122">
        <f>((AK31*Database!AK$32)-(AI31*Database!AI$32))/Database!AJ$32</f>
        <v>4.7517490408485651E-2</v>
      </c>
      <c r="AK31" s="396">
        <v>0.06</v>
      </c>
      <c r="AL31" s="122">
        <v>0.05</v>
      </c>
      <c r="AM31" s="122">
        <f>((AN31*Database!AN$32)-(AL31*Database!AL$32))/Database!AM$32</f>
        <v>0.05</v>
      </c>
      <c r="AN31" s="396">
        <v>0.05</v>
      </c>
      <c r="AO31" s="122">
        <v>0.06</v>
      </c>
      <c r="AP31" s="122">
        <f>((AQ31*Database!AQ$32)-(AO31*Database!AO$32))/Database!AP$32</f>
        <v>6.0000000000000005E-2</v>
      </c>
      <c r="AQ31" s="396">
        <v>0.06</v>
      </c>
      <c r="AR31" s="122">
        <v>0.06</v>
      </c>
      <c r="AS31" s="122">
        <v>0.06</v>
      </c>
      <c r="AT31" s="396">
        <v>0.06</v>
      </c>
      <c r="AU31" s="122">
        <v>0.05</v>
      </c>
      <c r="AV31" s="122">
        <v>0.05</v>
      </c>
      <c r="AW31" s="396">
        <v>0.05</v>
      </c>
      <c r="AX31" s="122">
        <v>0.05</v>
      </c>
      <c r="AY31" s="122">
        <v>0.05</v>
      </c>
      <c r="AZ31" s="396">
        <v>0.05</v>
      </c>
    </row>
    <row r="32" spans="1:52" s="35" customFormat="1" ht="14.5" x14ac:dyDescent="0.35">
      <c r="B32" s="120" t="s">
        <v>503</v>
      </c>
      <c r="C32" s="121"/>
      <c r="D32" s="121"/>
      <c r="E32" s="121"/>
      <c r="F32" s="121"/>
      <c r="G32" s="121"/>
      <c r="H32" s="121"/>
      <c r="I32" s="121"/>
      <c r="J32" s="121"/>
      <c r="K32" s="121"/>
      <c r="L32" s="121"/>
      <c r="M32" s="121"/>
      <c r="N32" s="121"/>
      <c r="O32" s="121"/>
      <c r="P32" s="121"/>
      <c r="Q32" s="121"/>
      <c r="R32" s="121"/>
      <c r="S32" s="121"/>
      <c r="T32" s="122"/>
      <c r="U32" s="122"/>
      <c r="V32" s="396">
        <f>1-SUM(V26:V31)</f>
        <v>0.30000000000000004</v>
      </c>
      <c r="W32" s="122"/>
      <c r="X32" s="122"/>
      <c r="Y32" s="396">
        <f>1-SUM(Y26:Y31)</f>
        <v>0.29000000000000004</v>
      </c>
      <c r="Z32" s="122">
        <f>1-SUM(Z26:Z31)</f>
        <v>0.28000000000000003</v>
      </c>
      <c r="AA32" s="122">
        <f>((AB32*Database!AB$32)-(Z32*Database!Z$32))/Database!AA$32</f>
        <v>0.28000000000000014</v>
      </c>
      <c r="AB32" s="396">
        <f>1-SUM(AB26:AB31)</f>
        <v>0.28000000000000003</v>
      </c>
      <c r="AC32" s="122">
        <f>1-SUM(AC26:AC31)</f>
        <v>0.28000000000000003</v>
      </c>
      <c r="AD32" s="122">
        <f>((AE32*Database!AE$32)-(AC32*Database!AC$32))/Database!AD$32</f>
        <v>0.31922486288848273</v>
      </c>
      <c r="AE32" s="396">
        <f>1-SUM(AE26:AE31)</f>
        <v>0.30000000000000004</v>
      </c>
      <c r="AF32" s="122">
        <f>1-SUM(AF26:AF31)</f>
        <v>0.29000000000000004</v>
      </c>
      <c r="AG32" s="122">
        <f>((AH32*Database!AH$32)-(AF32*Database!AF$32))/Database!AG$32</f>
        <v>0.29000000000000004</v>
      </c>
      <c r="AH32" s="396">
        <f>1-SUM(AH26:AH31)</f>
        <v>0.29000000000000004</v>
      </c>
      <c r="AI32" s="122">
        <f>1-SUM(AI26:AI31)</f>
        <v>0.29000000000000004</v>
      </c>
      <c r="AJ32" s="122">
        <f>((AK32*Database!AK$32)-(AI32*Database!AI$32))/Database!AJ$32</f>
        <v>0.26751749040848566</v>
      </c>
      <c r="AK32" s="396">
        <f>1-SUM(AK26:AK31)</f>
        <v>0.28000000000000003</v>
      </c>
      <c r="AL32" s="122">
        <f>1-SUM(AL26:AL31)</f>
        <v>0.29000000000000004</v>
      </c>
      <c r="AM32" s="122">
        <f>((AN32*Database!AN$32)-(AL32*Database!AL$32))/Database!AM$32</f>
        <v>0.27146375933777511</v>
      </c>
      <c r="AN32" s="396">
        <f>1-SUM(AN26:AN31)</f>
        <v>0.28000000000000003</v>
      </c>
      <c r="AO32" s="122">
        <f>1-SUM(AO26:AO31)</f>
        <v>0.31000000000000005</v>
      </c>
      <c r="AP32" s="122">
        <f>((AQ32*Database!AQ$32)-(AO32*Database!AO$32))/Database!AP$32</f>
        <v>0.27188431341131231</v>
      </c>
      <c r="AQ32" s="396">
        <f>1-SUM(AQ26:AQ31)</f>
        <v>0.29000000000000004</v>
      </c>
      <c r="AR32" s="122">
        <f>1-SUM(AR26:AR31)</f>
        <v>0.29000000000000004</v>
      </c>
      <c r="AS32" s="122">
        <f>1-SUM(AS26:AS31)</f>
        <v>0.29000000000000004</v>
      </c>
      <c r="AT32" s="396">
        <f>1-SUM(AT26:AT31)</f>
        <v>0.29000000000000004</v>
      </c>
      <c r="AU32" s="122">
        <f>1-SUM(AU26:AU31)</f>
        <v>0.28999999999999992</v>
      </c>
      <c r="AV32" s="122">
        <f t="shared" ref="AV32:AZ32" si="21">1-SUM(AV26:AV31)</f>
        <v>0.28999999999999992</v>
      </c>
      <c r="AW32" s="396">
        <f t="shared" si="21"/>
        <v>0.28999999999999992</v>
      </c>
      <c r="AX32" s="122">
        <f t="shared" si="21"/>
        <v>0.28999999999999992</v>
      </c>
      <c r="AY32" s="122">
        <f t="shared" si="21"/>
        <v>0.28999999999999992</v>
      </c>
      <c r="AZ32" s="396">
        <f t="shared" si="21"/>
        <v>0.28999999999999992</v>
      </c>
    </row>
    <row r="33" spans="1:52" s="87" customFormat="1" ht="14.5" thickBot="1" x14ac:dyDescent="0.35">
      <c r="A33" s="35"/>
      <c r="B33" s="82" t="s">
        <v>115</v>
      </c>
      <c r="C33" s="83"/>
      <c r="D33" s="83"/>
      <c r="E33" s="83"/>
      <c r="F33" s="83"/>
      <c r="G33" s="83"/>
      <c r="H33" s="83"/>
      <c r="I33" s="83"/>
      <c r="J33" s="83"/>
      <c r="K33" s="83"/>
      <c r="L33" s="83"/>
      <c r="M33" s="83"/>
      <c r="N33" s="83"/>
      <c r="O33" s="83"/>
      <c r="P33" s="83"/>
      <c r="Q33" s="83"/>
      <c r="R33" s="83"/>
      <c r="S33" s="83"/>
      <c r="T33" s="84"/>
      <c r="U33" s="84"/>
      <c r="V33" s="395">
        <f>SUM(V26:V32)</f>
        <v>1</v>
      </c>
      <c r="W33" s="84"/>
      <c r="X33" s="84"/>
      <c r="Y33" s="395">
        <f t="shared" ref="Y33:AU33" si="22">SUM(Y26:Y32)</f>
        <v>1</v>
      </c>
      <c r="Z33" s="84">
        <f t="shared" si="22"/>
        <v>1</v>
      </c>
      <c r="AA33" s="84">
        <f t="shared" si="22"/>
        <v>1.0000000000000004</v>
      </c>
      <c r="AB33" s="395">
        <f t="shared" si="22"/>
        <v>1</v>
      </c>
      <c r="AC33" s="84">
        <f t="shared" si="22"/>
        <v>1</v>
      </c>
      <c r="AD33" s="84">
        <f t="shared" si="22"/>
        <v>1</v>
      </c>
      <c r="AE33" s="395">
        <f t="shared" si="22"/>
        <v>1</v>
      </c>
      <c r="AF33" s="84">
        <f t="shared" si="22"/>
        <v>1</v>
      </c>
      <c r="AG33" s="84">
        <f t="shared" si="22"/>
        <v>1</v>
      </c>
      <c r="AH33" s="395">
        <f t="shared" si="22"/>
        <v>1</v>
      </c>
      <c r="AI33" s="84">
        <f t="shared" si="22"/>
        <v>1</v>
      </c>
      <c r="AJ33" s="84">
        <f t="shared" si="22"/>
        <v>0.99999999999999978</v>
      </c>
      <c r="AK33" s="395">
        <f t="shared" si="22"/>
        <v>1</v>
      </c>
      <c r="AL33" s="84">
        <f t="shared" si="22"/>
        <v>1</v>
      </c>
      <c r="AM33" s="84">
        <f t="shared" si="22"/>
        <v>1</v>
      </c>
      <c r="AN33" s="395">
        <f t="shared" si="22"/>
        <v>1</v>
      </c>
      <c r="AO33" s="84">
        <f t="shared" si="22"/>
        <v>1</v>
      </c>
      <c r="AP33" s="84">
        <f t="shared" si="22"/>
        <v>1.0000000000000002</v>
      </c>
      <c r="AQ33" s="395">
        <f t="shared" si="22"/>
        <v>1</v>
      </c>
      <c r="AR33" s="84">
        <f t="shared" si="22"/>
        <v>1</v>
      </c>
      <c r="AS33" s="84">
        <f t="shared" si="22"/>
        <v>1</v>
      </c>
      <c r="AT33" s="395">
        <f t="shared" si="22"/>
        <v>1</v>
      </c>
      <c r="AU33" s="84">
        <f t="shared" si="22"/>
        <v>1</v>
      </c>
      <c r="AV33" s="84">
        <f t="shared" ref="AV33:AY33" si="23">SUM(AV26:AV32)</f>
        <v>1</v>
      </c>
      <c r="AW33" s="395">
        <f t="shared" si="23"/>
        <v>1</v>
      </c>
      <c r="AX33" s="84">
        <f t="shared" si="23"/>
        <v>1</v>
      </c>
      <c r="AY33" s="84">
        <f t="shared" si="23"/>
        <v>1</v>
      </c>
      <c r="AZ33" s="395">
        <f t="shared" ref="AZ33" si="24">SUM(AZ26:AZ32)</f>
        <v>1</v>
      </c>
    </row>
    <row r="34" spans="1:52" s="17" customFormat="1" ht="14.5" thickTop="1" x14ac:dyDescent="0.3">
      <c r="T34" s="36"/>
      <c r="U34" s="36"/>
      <c r="V34" s="475"/>
      <c r="W34" s="36"/>
      <c r="X34" s="294"/>
      <c r="Y34" s="475"/>
      <c r="Z34" s="294"/>
      <c r="AA34" s="294"/>
      <c r="AB34" s="483"/>
      <c r="AC34" s="294"/>
      <c r="AD34" s="294"/>
      <c r="AE34" s="483"/>
      <c r="AF34" s="294"/>
      <c r="AG34" s="294"/>
      <c r="AH34" s="483"/>
      <c r="AI34" s="294"/>
      <c r="AJ34" s="294"/>
      <c r="AK34" s="483"/>
      <c r="AL34" s="294"/>
      <c r="AM34" s="294"/>
      <c r="AN34" s="483"/>
      <c r="AO34" s="294"/>
      <c r="AP34" s="294"/>
      <c r="AQ34" s="483"/>
      <c r="AR34" s="294"/>
      <c r="AS34" s="294"/>
      <c r="AT34" s="483"/>
      <c r="AU34" s="294"/>
      <c r="AV34" s="294"/>
      <c r="AW34" s="483"/>
      <c r="AX34" s="294"/>
      <c r="AY34" s="294"/>
      <c r="AZ34" s="483"/>
    </row>
    <row r="35" spans="1:52" s="138" customFormat="1" x14ac:dyDescent="0.3">
      <c r="A35" s="17"/>
      <c r="B35" s="487" t="s">
        <v>504</v>
      </c>
      <c r="C35" s="487"/>
      <c r="D35" s="487"/>
      <c r="E35" s="487"/>
      <c r="F35" s="487"/>
      <c r="G35" s="487"/>
      <c r="H35" s="487"/>
      <c r="I35" s="487"/>
      <c r="J35" s="487"/>
      <c r="K35" s="487"/>
      <c r="L35" s="487"/>
      <c r="M35" s="487"/>
      <c r="N35" s="487"/>
      <c r="O35" s="487"/>
      <c r="P35" s="487"/>
      <c r="Q35" s="487"/>
      <c r="R35" s="487"/>
      <c r="S35" s="487"/>
      <c r="T35" s="487"/>
      <c r="U35" s="487"/>
      <c r="V35" s="488"/>
      <c r="W35" s="487"/>
      <c r="X35" s="489"/>
      <c r="Y35" s="488"/>
      <c r="Z35" s="489"/>
      <c r="AA35" s="489"/>
      <c r="AB35" s="490"/>
      <c r="AC35" s="489"/>
      <c r="AD35" s="489"/>
      <c r="AE35" s="490"/>
      <c r="AF35" s="489"/>
      <c r="AG35" s="489"/>
      <c r="AH35" s="490"/>
      <c r="AI35" s="489"/>
      <c r="AJ35" s="489"/>
      <c r="AK35" s="490"/>
      <c r="AL35" s="489"/>
      <c r="AM35" s="489"/>
      <c r="AN35" s="490"/>
      <c r="AO35" s="489"/>
      <c r="AP35" s="489"/>
      <c r="AQ35" s="490"/>
      <c r="AR35" s="489"/>
      <c r="AS35" s="489"/>
      <c r="AT35" s="490"/>
      <c r="AU35" s="489"/>
      <c r="AV35" s="489"/>
      <c r="AW35" s="490"/>
      <c r="AX35" s="489"/>
      <c r="AY35" s="489"/>
      <c r="AZ35" s="490"/>
    </row>
    <row r="36" spans="1:52" s="34" customFormat="1" ht="14.5" x14ac:dyDescent="0.35">
      <c r="A36" s="21"/>
      <c r="B36" s="117" t="s">
        <v>505</v>
      </c>
      <c r="C36" s="118" t="s">
        <v>561</v>
      </c>
      <c r="D36" s="118"/>
      <c r="E36" s="118"/>
      <c r="F36" s="118"/>
      <c r="G36" s="118"/>
      <c r="H36" s="118"/>
      <c r="I36" s="118"/>
      <c r="J36" s="118"/>
      <c r="K36" s="118"/>
      <c r="L36" s="118"/>
      <c r="M36" s="118"/>
      <c r="N36" s="118"/>
      <c r="O36" s="118"/>
      <c r="P36" s="118"/>
      <c r="Q36" s="118"/>
      <c r="R36" s="118"/>
      <c r="S36" s="118"/>
      <c r="T36" s="119"/>
      <c r="U36" s="119"/>
      <c r="V36" s="396">
        <v>0.4</v>
      </c>
      <c r="W36" s="119"/>
      <c r="X36" s="119"/>
      <c r="Y36" s="396">
        <v>0.39</v>
      </c>
      <c r="Z36" s="119"/>
      <c r="AA36" s="119"/>
      <c r="AB36" s="396">
        <v>0.38</v>
      </c>
      <c r="AC36" s="119"/>
      <c r="AD36" s="119"/>
      <c r="AE36" s="396">
        <v>0.38</v>
      </c>
      <c r="AF36" s="119"/>
      <c r="AG36" s="119"/>
      <c r="AH36" s="396">
        <v>0.38</v>
      </c>
      <c r="AI36" s="119"/>
      <c r="AJ36" s="119"/>
      <c r="AK36" s="396">
        <v>0.37</v>
      </c>
      <c r="AL36" s="119"/>
      <c r="AM36" s="119"/>
      <c r="AN36" s="396">
        <v>0.36</v>
      </c>
      <c r="AO36" s="119"/>
      <c r="AP36" s="119"/>
      <c r="AQ36" s="396">
        <v>0.35</v>
      </c>
      <c r="AR36" s="119">
        <v>0.37</v>
      </c>
      <c r="AS36" s="119">
        <v>0.37</v>
      </c>
      <c r="AT36" s="396">
        <v>0.37</v>
      </c>
      <c r="AU36" s="119">
        <v>0.37</v>
      </c>
      <c r="AV36" s="119">
        <v>0.37</v>
      </c>
      <c r="AW36" s="396">
        <v>0.37</v>
      </c>
      <c r="AX36" s="119">
        <v>0.37</v>
      </c>
      <c r="AY36" s="119">
        <v>0.37</v>
      </c>
      <c r="AZ36" s="396">
        <v>0.37</v>
      </c>
    </row>
    <row r="37" spans="1:52" s="34" customFormat="1" ht="14.5" x14ac:dyDescent="0.3">
      <c r="A37" s="25"/>
      <c r="B37" s="117" t="s">
        <v>506</v>
      </c>
      <c r="C37" s="118" t="s">
        <v>562</v>
      </c>
      <c r="D37" s="118"/>
      <c r="E37" s="118"/>
      <c r="F37" s="118"/>
      <c r="G37" s="118"/>
      <c r="H37" s="118"/>
      <c r="I37" s="118"/>
      <c r="J37" s="118"/>
      <c r="K37" s="118"/>
      <c r="L37" s="118"/>
      <c r="M37" s="118"/>
      <c r="N37" s="118"/>
      <c r="O37" s="118"/>
      <c r="P37" s="118"/>
      <c r="Q37" s="118"/>
      <c r="R37" s="118"/>
      <c r="S37" s="118"/>
      <c r="T37" s="119"/>
      <c r="U37" s="119"/>
      <c r="V37" s="472">
        <v>0.6</v>
      </c>
      <c r="W37" s="119"/>
      <c r="X37" s="119"/>
      <c r="Y37" s="472">
        <v>0.61</v>
      </c>
      <c r="Z37" s="119"/>
      <c r="AA37" s="119"/>
      <c r="AB37" s="472">
        <v>0.62</v>
      </c>
      <c r="AC37" s="119"/>
      <c r="AD37" s="119"/>
      <c r="AE37" s="472">
        <v>0.62</v>
      </c>
      <c r="AF37" s="119"/>
      <c r="AG37" s="119"/>
      <c r="AH37" s="472">
        <v>0.62</v>
      </c>
      <c r="AI37" s="119"/>
      <c r="AJ37" s="119"/>
      <c r="AK37" s="472">
        <v>0.63</v>
      </c>
      <c r="AL37" s="119"/>
      <c r="AM37" s="119"/>
      <c r="AN37" s="472">
        <v>0.64</v>
      </c>
      <c r="AO37" s="119"/>
      <c r="AP37" s="119"/>
      <c r="AQ37" s="472">
        <v>0.65</v>
      </c>
      <c r="AR37" s="119">
        <v>0.63</v>
      </c>
      <c r="AS37" s="119">
        <v>0.63</v>
      </c>
      <c r="AT37" s="472">
        <v>0.63</v>
      </c>
      <c r="AU37" s="119">
        <v>0.63</v>
      </c>
      <c r="AV37" s="119">
        <v>0.63</v>
      </c>
      <c r="AW37" s="472">
        <v>0.63</v>
      </c>
      <c r="AX37" s="119">
        <v>0.63</v>
      </c>
      <c r="AY37" s="119">
        <v>0.63</v>
      </c>
      <c r="AZ37" s="472">
        <v>0.63</v>
      </c>
    </row>
    <row r="38" spans="1:52" s="87" customFormat="1" ht="14.5" thickBot="1" x14ac:dyDescent="0.35">
      <c r="A38" s="46"/>
      <c r="B38" s="82" t="s">
        <v>115</v>
      </c>
      <c r="C38" s="83"/>
      <c r="D38" s="83"/>
      <c r="E38" s="83"/>
      <c r="F38" s="83"/>
      <c r="G38" s="83"/>
      <c r="H38" s="83"/>
      <c r="I38" s="83"/>
      <c r="J38" s="83"/>
      <c r="K38" s="83"/>
      <c r="L38" s="83"/>
      <c r="M38" s="83"/>
      <c r="N38" s="83"/>
      <c r="O38" s="83"/>
      <c r="P38" s="83"/>
      <c r="Q38" s="83"/>
      <c r="R38" s="83"/>
      <c r="S38" s="83"/>
      <c r="T38" s="84"/>
      <c r="U38" s="84"/>
      <c r="V38" s="395">
        <f t="shared" ref="V38:AE38" si="25">SUM(V36:V37)</f>
        <v>1</v>
      </c>
      <c r="W38" s="84"/>
      <c r="X38" s="84"/>
      <c r="Y38" s="395">
        <f t="shared" si="25"/>
        <v>1</v>
      </c>
      <c r="Z38" s="84"/>
      <c r="AA38" s="84"/>
      <c r="AB38" s="395">
        <f t="shared" si="25"/>
        <v>1</v>
      </c>
      <c r="AC38" s="84"/>
      <c r="AD38" s="84"/>
      <c r="AE38" s="395">
        <f t="shared" si="25"/>
        <v>1</v>
      </c>
      <c r="AF38" s="84"/>
      <c r="AG38" s="84"/>
      <c r="AH38" s="395">
        <f t="shared" ref="AH38" si="26">SUM(AH36:AH37)</f>
        <v>1</v>
      </c>
      <c r="AI38" s="84"/>
      <c r="AJ38" s="84"/>
      <c r="AK38" s="395">
        <f t="shared" ref="AK38" si="27">SUM(AK36:AK37)</f>
        <v>1</v>
      </c>
      <c r="AL38" s="84"/>
      <c r="AM38" s="84"/>
      <c r="AN38" s="395">
        <f t="shared" ref="AN38" si="28">SUM(AN36:AN37)</f>
        <v>1</v>
      </c>
      <c r="AO38" s="84"/>
      <c r="AP38" s="84"/>
      <c r="AQ38" s="395">
        <f t="shared" ref="AQ38" si="29">SUM(AQ36:AQ37)</f>
        <v>1</v>
      </c>
      <c r="AR38" s="84"/>
      <c r="AS38" s="84"/>
      <c r="AT38" s="395"/>
      <c r="AU38" s="84"/>
      <c r="AV38" s="84"/>
      <c r="AW38" s="395"/>
      <c r="AX38" s="84"/>
      <c r="AY38" s="84"/>
      <c r="AZ38" s="395"/>
    </row>
    <row r="39" spans="1:52" ht="14.5" thickTop="1" x14ac:dyDescent="0.3">
      <c r="A39" s="46"/>
      <c r="T39" s="11"/>
      <c r="U39" s="11"/>
      <c r="V39" s="476"/>
      <c r="W39" s="11"/>
      <c r="X39" s="274"/>
      <c r="Y39" s="476"/>
      <c r="Z39" s="274"/>
      <c r="AA39" s="274"/>
      <c r="AB39" s="484"/>
      <c r="AC39" s="274"/>
      <c r="AD39" s="274"/>
      <c r="AE39" s="484"/>
      <c r="AF39" s="274"/>
      <c r="AG39" s="274"/>
      <c r="AH39" s="484"/>
      <c r="AI39" s="274"/>
      <c r="AJ39" s="274"/>
      <c r="AK39" s="484"/>
      <c r="AL39" s="274"/>
      <c r="AM39" s="274"/>
      <c r="AN39" s="484"/>
      <c r="AO39" s="274"/>
      <c r="AP39" s="274"/>
      <c r="AQ39" s="484"/>
      <c r="AR39" s="274"/>
      <c r="AS39" s="274"/>
      <c r="AT39" s="484"/>
      <c r="AU39" s="274"/>
      <c r="AV39" s="274"/>
      <c r="AW39" s="484"/>
      <c r="AX39" s="274"/>
      <c r="AY39" s="274"/>
      <c r="AZ39" s="484"/>
    </row>
    <row r="40" spans="1:52" x14ac:dyDescent="0.3">
      <c r="A40" s="21"/>
      <c r="T40" s="11"/>
      <c r="U40" s="11"/>
      <c r="V40" s="476"/>
      <c r="W40" s="11"/>
      <c r="X40" s="274"/>
      <c r="Y40" s="476"/>
      <c r="Z40" s="274"/>
      <c r="AA40" s="274"/>
      <c r="AB40" s="484"/>
      <c r="AC40" s="274"/>
      <c r="AD40" s="274"/>
      <c r="AE40" s="484"/>
      <c r="AF40" s="274"/>
      <c r="AG40" s="274"/>
      <c r="AH40" s="484"/>
      <c r="AI40" s="274"/>
      <c r="AJ40" s="274"/>
      <c r="AK40" s="484"/>
      <c r="AL40" s="274"/>
      <c r="AM40" s="274"/>
      <c r="AN40" s="484"/>
      <c r="AO40" s="274"/>
      <c r="AP40" s="274"/>
      <c r="AQ40" s="484"/>
      <c r="AR40" s="274"/>
      <c r="AS40" s="274"/>
      <c r="AT40" s="484"/>
      <c r="AU40" s="274"/>
      <c r="AV40" s="274"/>
      <c r="AW40" s="484"/>
      <c r="AX40" s="274"/>
      <c r="AY40" s="274"/>
      <c r="AZ40" s="484"/>
    </row>
    <row r="41" spans="1:52" s="17" customFormat="1" ht="15" customHeight="1" x14ac:dyDescent="0.3">
      <c r="A41" s="25"/>
      <c r="B41" s="204" t="s">
        <v>631</v>
      </c>
      <c r="C41" s="200"/>
      <c r="D41" s="200"/>
      <c r="E41" s="200"/>
      <c r="F41" s="200"/>
      <c r="G41" s="200"/>
      <c r="H41" s="200"/>
      <c r="I41" s="200"/>
      <c r="J41" s="200"/>
      <c r="K41" s="200"/>
      <c r="L41" s="200"/>
      <c r="M41" s="200"/>
      <c r="N41" s="200"/>
      <c r="O41" s="200"/>
      <c r="P41" s="200"/>
      <c r="Q41" s="200"/>
      <c r="R41" s="200"/>
      <c r="S41" s="200"/>
      <c r="T41" s="201"/>
      <c r="U41" s="201"/>
      <c r="V41" s="202" t="str">
        <f t="shared" ref="V41:AQ41" si="30">V$5</f>
        <v>FY15</v>
      </c>
      <c r="W41" s="201"/>
      <c r="X41" s="277"/>
      <c r="Y41" s="202" t="str">
        <f t="shared" si="30"/>
        <v>FY16</v>
      </c>
      <c r="Z41" s="277"/>
      <c r="AA41" s="277"/>
      <c r="AB41" s="278" t="str">
        <f t="shared" si="30"/>
        <v>FY17</v>
      </c>
      <c r="AC41" s="277"/>
      <c r="AD41" s="277"/>
      <c r="AE41" s="278" t="str">
        <f t="shared" si="30"/>
        <v>FY18</v>
      </c>
      <c r="AF41" s="277"/>
      <c r="AG41" s="277"/>
      <c r="AH41" s="278" t="str">
        <f t="shared" si="30"/>
        <v>FY19</v>
      </c>
      <c r="AI41" s="277"/>
      <c r="AJ41" s="277"/>
      <c r="AK41" s="278" t="str">
        <f t="shared" si="30"/>
        <v>FY20</v>
      </c>
      <c r="AL41" s="277"/>
      <c r="AM41" s="277"/>
      <c r="AN41" s="278" t="str">
        <f t="shared" si="30"/>
        <v>FY21</v>
      </c>
      <c r="AO41" s="277"/>
      <c r="AP41" s="277"/>
      <c r="AQ41" s="278" t="str">
        <f t="shared" si="30"/>
        <v>FY22</v>
      </c>
      <c r="AR41" s="277"/>
      <c r="AS41" s="277"/>
      <c r="AT41" s="278"/>
      <c r="AU41" s="277"/>
      <c r="AV41" s="277"/>
      <c r="AW41" s="278"/>
      <c r="AX41" s="277"/>
      <c r="AY41" s="277"/>
      <c r="AZ41" s="278"/>
    </row>
    <row r="42" spans="1:52" s="138" customFormat="1" x14ac:dyDescent="0.3">
      <c r="A42" s="46"/>
      <c r="B42" s="487" t="s">
        <v>119</v>
      </c>
      <c r="C42" s="487"/>
      <c r="D42" s="487"/>
      <c r="E42" s="487"/>
      <c r="F42" s="487"/>
      <c r="G42" s="487"/>
      <c r="H42" s="487"/>
      <c r="I42" s="487"/>
      <c r="J42" s="487"/>
      <c r="K42" s="487"/>
      <c r="L42" s="487"/>
      <c r="M42" s="487"/>
      <c r="N42" s="487"/>
      <c r="O42" s="487"/>
      <c r="P42" s="487"/>
      <c r="Q42" s="487"/>
      <c r="R42" s="487"/>
      <c r="S42" s="487"/>
      <c r="T42" s="487"/>
      <c r="U42" s="487"/>
      <c r="V42" s="488"/>
      <c r="W42" s="487"/>
      <c r="X42" s="489"/>
      <c r="Y42" s="488"/>
      <c r="Z42" s="489"/>
      <c r="AA42" s="489"/>
      <c r="AB42" s="490"/>
      <c r="AC42" s="489"/>
      <c r="AD42" s="489"/>
      <c r="AE42" s="490"/>
      <c r="AF42" s="489"/>
      <c r="AG42" s="489"/>
      <c r="AH42" s="490"/>
      <c r="AI42" s="489"/>
      <c r="AJ42" s="489"/>
      <c r="AK42" s="490"/>
      <c r="AL42" s="489"/>
      <c r="AM42" s="489"/>
      <c r="AN42" s="490"/>
      <c r="AO42" s="489"/>
      <c r="AP42" s="489"/>
      <c r="AQ42" s="490"/>
      <c r="AR42" s="489"/>
      <c r="AS42" s="489"/>
      <c r="AT42" s="490"/>
      <c r="AU42" s="489"/>
      <c r="AV42" s="489"/>
      <c r="AW42" s="490"/>
      <c r="AX42" s="489"/>
      <c r="AY42" s="489"/>
      <c r="AZ42" s="490"/>
    </row>
    <row r="43" spans="1:52" s="124" customFormat="1" x14ac:dyDescent="0.3">
      <c r="A43" s="46"/>
      <c r="B43" s="123" t="s">
        <v>120</v>
      </c>
      <c r="C43" s="123"/>
      <c r="D43" s="123"/>
      <c r="E43" s="123"/>
      <c r="F43" s="123"/>
      <c r="G43" s="123"/>
      <c r="H43" s="123"/>
      <c r="I43" s="123"/>
      <c r="J43" s="123"/>
      <c r="K43" s="123"/>
      <c r="L43" s="123"/>
      <c r="M43" s="123"/>
      <c r="N43" s="123"/>
      <c r="O43" s="123"/>
      <c r="P43" s="123"/>
      <c r="Q43" s="123"/>
      <c r="R43" s="123"/>
      <c r="S43" s="123"/>
      <c r="T43" s="226"/>
      <c r="U43" s="226"/>
      <c r="V43" s="477">
        <f>Database!V50/(SUM(Database!V$56,SUM(Database!V$58:'Database'!V$60)))</f>
        <v>0.73421096483919357</v>
      </c>
      <c r="W43" s="226"/>
      <c r="X43" s="309"/>
      <c r="Y43" s="477">
        <f>Database!Y50/(SUM(Database!Y$56,SUM(Database!Y$58:'Database'!Y$60)))</f>
        <v>0.756872715715875</v>
      </c>
      <c r="Z43" s="309"/>
      <c r="AA43" s="309"/>
      <c r="AB43" s="485">
        <f>Database!AB50/(SUM(Database!AB$56,SUM(Database!AB$58:'Database'!AB$60)))</f>
        <v>0.75763692638944957</v>
      </c>
      <c r="AC43" s="309"/>
      <c r="AD43" s="309"/>
      <c r="AE43" s="485">
        <f>Database!AE50/(SUM(Database!AE$56,SUM(Database!AE$58:'Database'!AE$60)))</f>
        <v>0.76585483482035199</v>
      </c>
      <c r="AF43" s="309"/>
      <c r="AG43" s="309"/>
      <c r="AH43" s="485">
        <f>Database!AH50/(SUM(Database!AH$56,SUM(Database!AH$58:'Database'!AH$60)))</f>
        <v>0.76909978431149961</v>
      </c>
      <c r="AI43" s="309"/>
      <c r="AJ43" s="309"/>
      <c r="AK43" s="485">
        <f>Database!AK50/(SUM(Database!AK$56,SUM(Database!AK$58:'Database'!AK$60)))</f>
        <v>0.75220622387366465</v>
      </c>
      <c r="AL43" s="309"/>
      <c r="AM43" s="309"/>
      <c r="AN43" s="485">
        <f>Database!AN50/(SUM(Database!AN$56,SUM(Database!AN$58:'Database'!AN$60)))</f>
        <v>0.75880923450789795</v>
      </c>
      <c r="AO43" s="309"/>
      <c r="AP43" s="309"/>
      <c r="AQ43" s="485">
        <f>Database!AQ50/(SUM(Database!AQ$56,SUM(Database!AQ$58:'Database'!AQ$60)))</f>
        <v>0.78270192994996424</v>
      </c>
      <c r="AR43" s="309"/>
      <c r="AS43" s="309"/>
      <c r="AT43" s="485"/>
      <c r="AU43" s="309"/>
      <c r="AV43" s="309"/>
      <c r="AW43" s="485"/>
      <c r="AX43" s="309"/>
      <c r="AY43" s="309"/>
      <c r="AZ43" s="485"/>
    </row>
    <row r="44" spans="1:52" s="124" customFormat="1" x14ac:dyDescent="0.3">
      <c r="A44" s="30"/>
      <c r="B44" s="123" t="s">
        <v>121</v>
      </c>
      <c r="C44" s="123"/>
      <c r="D44" s="123"/>
      <c r="E44" s="123"/>
      <c r="F44" s="123"/>
      <c r="G44" s="123"/>
      <c r="H44" s="123"/>
      <c r="I44" s="123"/>
      <c r="J44" s="123"/>
      <c r="K44" s="123"/>
      <c r="L44" s="123"/>
      <c r="M44" s="123"/>
      <c r="N44" s="123"/>
      <c r="O44" s="123"/>
      <c r="P44" s="123"/>
      <c r="Q44" s="123"/>
      <c r="R44" s="123"/>
      <c r="S44" s="123"/>
      <c r="T44" s="226"/>
      <c r="U44" s="226"/>
      <c r="V44" s="477">
        <f>Database!V51/(SUM(Database!V$56,SUM(Database!V$58:'Database'!V$60)))</f>
        <v>5.1324779203466099E-2</v>
      </c>
      <c r="W44" s="226"/>
      <c r="X44" s="309"/>
      <c r="Y44" s="477">
        <f>Database!Y51/(SUM(Database!Y$56,SUM(Database!Y$58:'Database'!Y$60)))</f>
        <v>5.4028285396472288E-2</v>
      </c>
      <c r="Z44" s="309"/>
      <c r="AA44" s="309"/>
      <c r="AB44" s="485">
        <f>Database!AB51/(SUM(Database!AB$56,SUM(Database!AB$58:'Database'!AB$60)))</f>
        <v>5.6654555241555646E-2</v>
      </c>
      <c r="AC44" s="309"/>
      <c r="AD44" s="309"/>
      <c r="AE44" s="485">
        <f>Database!AE51/(SUM(Database!AE$56,SUM(Database!AE$58:'Database'!AE$60)))</f>
        <v>5.4617795997106332E-2</v>
      </c>
      <c r="AF44" s="309"/>
      <c r="AG44" s="309"/>
      <c r="AH44" s="485">
        <f>Database!AH51/(SUM(Database!AH$56,SUM(Database!AH$58:'Database'!AH$60)))</f>
        <v>5.6533091156771485E-2</v>
      </c>
      <c r="AI44" s="309"/>
      <c r="AJ44" s="309"/>
      <c r="AK44" s="485"/>
      <c r="AL44" s="309"/>
      <c r="AM44" s="309"/>
      <c r="AN44" s="485"/>
      <c r="AO44" s="309"/>
      <c r="AP44" s="309"/>
      <c r="AQ44" s="485"/>
      <c r="AR44" s="309"/>
      <c r="AS44" s="309"/>
      <c r="AT44" s="485"/>
      <c r="AU44" s="309"/>
      <c r="AV44" s="309"/>
      <c r="AW44" s="485"/>
      <c r="AX44" s="309"/>
      <c r="AY44" s="309"/>
      <c r="AZ44" s="485"/>
    </row>
    <row r="45" spans="1:52" s="124" customFormat="1" x14ac:dyDescent="0.3">
      <c r="A45" s="371" t="s">
        <v>698</v>
      </c>
      <c r="B45" s="123" t="s">
        <v>582</v>
      </c>
      <c r="C45" s="123"/>
      <c r="D45" s="123"/>
      <c r="E45" s="123"/>
      <c r="F45" s="123"/>
      <c r="G45" s="123"/>
      <c r="H45" s="123"/>
      <c r="I45" s="123"/>
      <c r="J45" s="123"/>
      <c r="K45" s="123"/>
      <c r="L45" s="123"/>
      <c r="M45" s="123"/>
      <c r="N45" s="123"/>
      <c r="O45" s="123"/>
      <c r="P45" s="123"/>
      <c r="Q45" s="123"/>
      <c r="R45" s="123"/>
      <c r="S45" s="123"/>
      <c r="T45" s="226"/>
      <c r="U45" s="226"/>
      <c r="V45" s="477">
        <f>(SUM(Database!V58:'Database'!V60))/(SUM(Database!V$56,SUM(Database!V$58:'Database'!V$60)))</f>
        <v>3.7327112147975343E-2</v>
      </c>
      <c r="W45" s="226"/>
      <c r="X45" s="309"/>
      <c r="Y45" s="477">
        <f>(SUM(Database!Y58:'Database'!Y60))/(SUM(Database!Y$56,SUM(Database!Y$58:'Database'!Y$60)))</f>
        <v>3.4800572064198322E-2</v>
      </c>
      <c r="Z45" s="309"/>
      <c r="AA45" s="309"/>
      <c r="AB45" s="485">
        <f>(SUM(Database!AB58:'Database'!AB60))/(SUM(Database!AB$56,SUM(Database!AB$58:'Database'!AB$60)))</f>
        <v>2.9201991656573816E-2</v>
      </c>
      <c r="AC45" s="309"/>
      <c r="AD45" s="309"/>
      <c r="AE45" s="485">
        <f>(SUM(Database!AE58:'Database'!AE60))/(SUM(Database!AE$56,SUM(Database!AE$58:'Database'!AE$60)))</f>
        <v>1.8688208343380756E-2</v>
      </c>
      <c r="AF45" s="309"/>
      <c r="AG45" s="309"/>
      <c r="AH45" s="485">
        <f>(SUM(Database!AH58:'Database'!AH60))/(SUM(Database!AH$56,SUM(Database!AH$58:'Database'!AH$60)))</f>
        <v>1.7255080031785674E-2</v>
      </c>
      <c r="AI45" s="309"/>
      <c r="AJ45" s="309"/>
      <c r="AK45" s="485">
        <f>(SUM(Database!AK58:'Database'!AK60))/(SUM(Database!AK$56,SUM(Database!AK$58:'Database'!AK$60)))</f>
        <v>7.3037621922898283E-2</v>
      </c>
      <c r="AL45" s="309"/>
      <c r="AM45" s="309"/>
      <c r="AN45" s="485">
        <f>(SUM(Database!AN58:'Database'!AN60))/(SUM(Database!AN$56,SUM(Database!AN$58:'Database'!AN$60)))</f>
        <v>8.2624544349939252E-2</v>
      </c>
      <c r="AO45" s="309"/>
      <c r="AP45" s="309"/>
      <c r="AQ45" s="485">
        <f>(SUM(Database!AQ58:'Database'!AQ60))/(SUM(Database!AQ$56,SUM(Database!AQ$58:'Database'!AQ$60)))</f>
        <v>6.5454916777289887E-2</v>
      </c>
      <c r="AR45" s="309"/>
      <c r="AS45" s="309"/>
      <c r="AT45" s="485"/>
      <c r="AU45" s="309"/>
      <c r="AV45" s="309"/>
      <c r="AW45" s="485"/>
      <c r="AX45" s="309"/>
      <c r="AY45" s="309"/>
      <c r="AZ45" s="485"/>
    </row>
    <row r="46" spans="1:52" s="124" customFormat="1" x14ac:dyDescent="0.3">
      <c r="A46" s="1"/>
      <c r="B46" s="123" t="s">
        <v>124</v>
      </c>
      <c r="C46" s="123"/>
      <c r="D46" s="123"/>
      <c r="E46" s="123"/>
      <c r="F46" s="123"/>
      <c r="G46" s="123"/>
      <c r="H46" s="123"/>
      <c r="I46" s="123"/>
      <c r="J46" s="123"/>
      <c r="K46" s="123"/>
      <c r="L46" s="123"/>
      <c r="M46" s="123"/>
      <c r="N46" s="123"/>
      <c r="O46" s="123"/>
      <c r="P46" s="123"/>
      <c r="Q46" s="123"/>
      <c r="R46" s="123"/>
      <c r="S46" s="123"/>
      <c r="T46" s="226"/>
      <c r="U46" s="226"/>
      <c r="V46" s="477">
        <f>1-SUM(V43:V45)</f>
        <v>0.17713714380936496</v>
      </c>
      <c r="W46" s="226"/>
      <c r="X46" s="309"/>
      <c r="Y46" s="477">
        <f>1-SUM(Y43:Y45)</f>
        <v>0.1542984268234544</v>
      </c>
      <c r="Z46" s="309"/>
      <c r="AA46" s="309"/>
      <c r="AB46" s="485">
        <f>1-SUM(AB43:AB45)</f>
        <v>0.15650652671242105</v>
      </c>
      <c r="AC46" s="309"/>
      <c r="AD46" s="309"/>
      <c r="AE46" s="485">
        <f>1-SUM(AE43:AE45)</f>
        <v>0.16083916083916083</v>
      </c>
      <c r="AF46" s="309"/>
      <c r="AG46" s="309"/>
      <c r="AH46" s="485">
        <f>1-SUM(AH43:AH45)</f>
        <v>0.1571120444999432</v>
      </c>
      <c r="AI46" s="309"/>
      <c r="AJ46" s="309"/>
      <c r="AK46" s="485">
        <f>1-SUM(AK43:AK45)</f>
        <v>0.17475615420343704</v>
      </c>
      <c r="AL46" s="309"/>
      <c r="AM46" s="309"/>
      <c r="AN46" s="485">
        <f>1-SUM(AN43:AN45)</f>
        <v>0.15856622114216279</v>
      </c>
      <c r="AO46" s="309"/>
      <c r="AP46" s="309"/>
      <c r="AQ46" s="485">
        <f>1-SUM(AQ43:AQ45)</f>
        <v>0.15184315327274589</v>
      </c>
      <c r="AR46" s="309"/>
      <c r="AS46" s="309"/>
      <c r="AT46" s="485"/>
      <c r="AU46" s="309"/>
      <c r="AV46" s="309"/>
      <c r="AW46" s="485"/>
      <c r="AX46" s="309"/>
      <c r="AY46" s="309"/>
      <c r="AZ46" s="485"/>
    </row>
    <row r="47" spans="1:52" s="125" customFormat="1" x14ac:dyDescent="0.3">
      <c r="A47" s="1"/>
      <c r="B47" s="125" t="s">
        <v>126</v>
      </c>
      <c r="T47" s="227"/>
      <c r="U47" s="227"/>
      <c r="V47" s="478">
        <f>SUM(V43:V46)</f>
        <v>1</v>
      </c>
      <c r="W47" s="227"/>
      <c r="X47" s="310"/>
      <c r="Y47" s="478">
        <f>SUM(Y43:Y46)</f>
        <v>1</v>
      </c>
      <c r="Z47" s="310"/>
      <c r="AA47" s="310"/>
      <c r="AB47" s="486">
        <f>SUM(AB43:AB46)</f>
        <v>1</v>
      </c>
      <c r="AC47" s="310"/>
      <c r="AD47" s="310"/>
      <c r="AE47" s="486">
        <f>SUM(AE43:AE46)</f>
        <v>1</v>
      </c>
      <c r="AF47" s="310"/>
      <c r="AG47" s="310"/>
      <c r="AH47" s="486">
        <f>SUM(AH43:AH46)</f>
        <v>1</v>
      </c>
      <c r="AI47" s="310"/>
      <c r="AJ47" s="310"/>
      <c r="AK47" s="486">
        <f>SUM(AK43:AK46)</f>
        <v>1</v>
      </c>
      <c r="AL47" s="310"/>
      <c r="AM47" s="310"/>
      <c r="AN47" s="486">
        <f>SUM(AN43:AN46)</f>
        <v>1</v>
      </c>
      <c r="AO47" s="310"/>
      <c r="AP47" s="310"/>
      <c r="AQ47" s="486">
        <f>SUM(AQ43:AQ46)</f>
        <v>1</v>
      </c>
      <c r="AR47" s="310"/>
      <c r="AS47" s="310"/>
      <c r="AT47" s="486"/>
      <c r="AU47" s="310"/>
      <c r="AV47" s="310"/>
      <c r="AW47" s="486"/>
      <c r="AX47" s="310"/>
      <c r="AY47" s="310"/>
      <c r="AZ47" s="486"/>
    </row>
    <row r="48" spans="1:52" x14ac:dyDescent="0.3">
      <c r="A48" s="20"/>
      <c r="B48" s="18"/>
      <c r="C48" s="18"/>
      <c r="D48" s="18"/>
      <c r="E48" s="18"/>
      <c r="F48" s="18"/>
      <c r="G48" s="18"/>
      <c r="H48" s="18"/>
      <c r="I48" s="18"/>
      <c r="J48" s="18"/>
      <c r="K48" s="18"/>
      <c r="L48" s="18"/>
      <c r="M48" s="18"/>
      <c r="N48" s="18"/>
      <c r="O48" s="18"/>
      <c r="P48" s="18"/>
      <c r="Q48" s="18"/>
      <c r="R48" s="18"/>
      <c r="S48" s="18"/>
      <c r="T48" s="11"/>
      <c r="U48" s="11"/>
      <c r="V48" s="476"/>
      <c r="W48" s="11"/>
      <c r="X48" s="274"/>
      <c r="Y48" s="476"/>
      <c r="Z48" s="274"/>
      <c r="AA48" s="274"/>
      <c r="AB48" s="484"/>
      <c r="AC48" s="274"/>
      <c r="AD48" s="274"/>
      <c r="AE48" s="484"/>
      <c r="AF48" s="274"/>
      <c r="AG48" s="274"/>
      <c r="AH48" s="484"/>
      <c r="AI48" s="274"/>
      <c r="AJ48" s="274"/>
      <c r="AK48" s="484"/>
      <c r="AL48" s="274"/>
      <c r="AM48" s="274"/>
      <c r="AN48" s="484"/>
      <c r="AO48" s="274"/>
      <c r="AP48" s="274"/>
      <c r="AQ48" s="484"/>
      <c r="AR48" s="274"/>
      <c r="AS48" s="274"/>
      <c r="AT48" s="484"/>
      <c r="AU48" s="274"/>
      <c r="AV48" s="274"/>
      <c r="AW48" s="484"/>
      <c r="AX48" s="274"/>
      <c r="AY48" s="274"/>
      <c r="AZ48" s="484"/>
    </row>
    <row r="49" spans="1:52" x14ac:dyDescent="0.3">
      <c r="A49" s="20"/>
      <c r="B49" s="18"/>
      <c r="C49" s="18"/>
      <c r="D49" s="18"/>
      <c r="E49" s="18"/>
      <c r="F49" s="18"/>
      <c r="G49" s="18"/>
      <c r="H49" s="18"/>
      <c r="I49" s="18"/>
      <c r="J49" s="18"/>
      <c r="K49" s="18"/>
      <c r="L49" s="18"/>
      <c r="M49" s="18"/>
      <c r="N49" s="18"/>
      <c r="O49" s="18"/>
      <c r="P49" s="18"/>
      <c r="Q49" s="18"/>
      <c r="R49" s="18"/>
      <c r="S49" s="18"/>
      <c r="T49" s="11"/>
      <c r="U49" s="11"/>
      <c r="V49" s="471"/>
      <c r="W49" s="11"/>
      <c r="X49" s="274"/>
      <c r="Y49" s="471"/>
      <c r="Z49" s="274"/>
      <c r="AA49" s="274"/>
      <c r="AB49" s="480"/>
      <c r="AC49" s="274"/>
      <c r="AD49" s="274"/>
      <c r="AE49" s="480"/>
      <c r="AF49" s="274"/>
      <c r="AG49" s="274"/>
      <c r="AH49" s="480"/>
      <c r="AI49" s="274"/>
      <c r="AJ49" s="274"/>
      <c r="AK49" s="480"/>
      <c r="AL49" s="274"/>
      <c r="AM49" s="274"/>
      <c r="AN49" s="480"/>
      <c r="AO49" s="274"/>
      <c r="AP49" s="274"/>
      <c r="AQ49" s="480"/>
      <c r="AR49" s="274"/>
      <c r="AS49" s="274"/>
      <c r="AT49" s="480"/>
      <c r="AU49" s="274"/>
      <c r="AV49" s="274"/>
      <c r="AW49" s="480"/>
      <c r="AX49" s="274"/>
      <c r="AY49" s="274"/>
      <c r="AZ49" s="480"/>
    </row>
    <row r="50" spans="1:52" s="17" customFormat="1" ht="15" customHeight="1" x14ac:dyDescent="0.3">
      <c r="A50" s="20"/>
      <c r="B50" s="204" t="s">
        <v>632</v>
      </c>
      <c r="C50" s="200"/>
      <c r="D50" s="200"/>
      <c r="E50" s="200"/>
      <c r="F50" s="200"/>
      <c r="G50" s="200"/>
      <c r="H50" s="200"/>
      <c r="I50" s="200"/>
      <c r="J50" s="200"/>
      <c r="K50" s="200"/>
      <c r="L50" s="200"/>
      <c r="M50" s="200"/>
      <c r="N50" s="200"/>
      <c r="O50" s="200"/>
      <c r="P50" s="200"/>
      <c r="Q50" s="200"/>
      <c r="R50" s="200"/>
      <c r="S50" s="200"/>
      <c r="T50" s="201" t="str">
        <f t="shared" ref="T50:AQ50" si="31">T$5</f>
        <v>H1 15</v>
      </c>
      <c r="U50" s="201" t="str">
        <f t="shared" si="31"/>
        <v>H2 15</v>
      </c>
      <c r="V50" s="202" t="str">
        <f t="shared" si="31"/>
        <v>FY15</v>
      </c>
      <c r="W50" s="201" t="str">
        <f t="shared" si="31"/>
        <v>H1 16</v>
      </c>
      <c r="X50" s="277" t="str">
        <f t="shared" si="31"/>
        <v>H2 16</v>
      </c>
      <c r="Y50" s="202" t="str">
        <f t="shared" si="31"/>
        <v>FY16</v>
      </c>
      <c r="Z50" s="277" t="str">
        <f t="shared" si="31"/>
        <v>H1 17</v>
      </c>
      <c r="AA50" s="277" t="str">
        <f t="shared" si="31"/>
        <v>H2 17</v>
      </c>
      <c r="AB50" s="278" t="str">
        <f t="shared" si="31"/>
        <v>FY17</v>
      </c>
      <c r="AC50" s="277" t="str">
        <f t="shared" si="31"/>
        <v>H1 18</v>
      </c>
      <c r="AD50" s="277" t="str">
        <f t="shared" si="31"/>
        <v>H2 18</v>
      </c>
      <c r="AE50" s="278" t="str">
        <f t="shared" si="31"/>
        <v>FY18</v>
      </c>
      <c r="AF50" s="277" t="str">
        <f t="shared" si="31"/>
        <v>H1 19</v>
      </c>
      <c r="AG50" s="277" t="str">
        <f t="shared" si="31"/>
        <v>H2 19</v>
      </c>
      <c r="AH50" s="278" t="str">
        <f t="shared" si="31"/>
        <v>FY19</v>
      </c>
      <c r="AI50" s="277" t="str">
        <f t="shared" si="31"/>
        <v>H1 20</v>
      </c>
      <c r="AJ50" s="277" t="str">
        <f t="shared" si="31"/>
        <v>H2 20</v>
      </c>
      <c r="AK50" s="278" t="str">
        <f t="shared" si="31"/>
        <v>FY20</v>
      </c>
      <c r="AL50" s="277"/>
      <c r="AM50" s="277"/>
      <c r="AN50" s="278" t="str">
        <f t="shared" si="31"/>
        <v>FY21</v>
      </c>
      <c r="AO50" s="277"/>
      <c r="AP50" s="277"/>
      <c r="AQ50" s="278" t="str">
        <f t="shared" si="31"/>
        <v>FY22</v>
      </c>
      <c r="AR50" s="277"/>
      <c r="AS50" s="277"/>
      <c r="AT50" s="278"/>
      <c r="AU50" s="277"/>
      <c r="AV50" s="277"/>
      <c r="AW50" s="278"/>
      <c r="AX50" s="277"/>
      <c r="AY50" s="277"/>
      <c r="AZ50" s="278"/>
    </row>
    <row r="51" spans="1:52" s="138" customFormat="1" x14ac:dyDescent="0.3">
      <c r="A51" s="20"/>
      <c r="B51" s="487" t="s">
        <v>127</v>
      </c>
      <c r="C51" s="487"/>
      <c r="D51" s="487"/>
      <c r="E51" s="487"/>
      <c r="F51" s="487"/>
      <c r="G51" s="487"/>
      <c r="H51" s="487"/>
      <c r="I51" s="487"/>
      <c r="J51" s="487"/>
      <c r="K51" s="487"/>
      <c r="L51" s="487"/>
      <c r="M51" s="487"/>
      <c r="N51" s="487"/>
      <c r="O51" s="487"/>
      <c r="P51" s="487"/>
      <c r="Q51" s="487"/>
      <c r="R51" s="487"/>
      <c r="S51" s="487"/>
      <c r="T51" s="487"/>
      <c r="U51" s="487"/>
      <c r="V51" s="488"/>
      <c r="W51" s="487"/>
      <c r="X51" s="489"/>
      <c r="Y51" s="488"/>
      <c r="Z51" s="489"/>
      <c r="AA51" s="489"/>
      <c r="AB51" s="490"/>
      <c r="AC51" s="489"/>
      <c r="AD51" s="489"/>
      <c r="AE51" s="490"/>
      <c r="AF51" s="489"/>
      <c r="AG51" s="489"/>
      <c r="AH51" s="490"/>
      <c r="AI51" s="489"/>
      <c r="AJ51" s="489"/>
      <c r="AK51" s="490"/>
      <c r="AL51" s="489"/>
      <c r="AM51" s="489"/>
      <c r="AN51" s="490"/>
      <c r="AO51" s="489"/>
      <c r="AP51" s="489"/>
      <c r="AQ51" s="490"/>
      <c r="AR51" s="489"/>
      <c r="AS51" s="489"/>
      <c r="AT51" s="490"/>
      <c r="AU51" s="489"/>
      <c r="AV51" s="489"/>
      <c r="AW51" s="490"/>
      <c r="AX51" s="489"/>
      <c r="AY51" s="489"/>
      <c r="AZ51" s="490"/>
    </row>
    <row r="52" spans="1:52" s="35" customFormat="1" ht="14.5" x14ac:dyDescent="0.35">
      <c r="A52" s="20"/>
      <c r="B52" s="120" t="s">
        <v>473</v>
      </c>
      <c r="C52" s="121"/>
      <c r="D52" s="121"/>
      <c r="E52" s="121"/>
      <c r="F52" s="121"/>
      <c r="G52" s="121"/>
      <c r="H52" s="121"/>
      <c r="I52" s="121"/>
      <c r="J52" s="121"/>
      <c r="K52" s="121"/>
      <c r="L52" s="121"/>
      <c r="M52" s="121"/>
      <c r="N52" s="121"/>
      <c r="O52" s="121"/>
      <c r="P52" s="121"/>
      <c r="Q52" s="121"/>
      <c r="R52" s="121"/>
      <c r="S52" s="121"/>
      <c r="T52" s="122">
        <f>IF(Database!T77&lt;&gt;0,Database!T77/Database!T$93,"")</f>
        <v>0.27730061349693252</v>
      </c>
      <c r="U52" s="122">
        <f>IF(Database!U77&lt;&gt;0,Database!U77/Database!U$93,"")</f>
        <v>0.26134301270417426</v>
      </c>
      <c r="V52" s="396">
        <f>IF(Database!V77&lt;&gt;0,Database!V77/Database!V$93,"")</f>
        <v>0.26934795856185256</v>
      </c>
      <c r="W52" s="122">
        <f>IF(Database!W77&lt;&gt;0,Database!W77/Database!W$93,"")</f>
        <v>0.23638470451911933</v>
      </c>
      <c r="X52" s="122">
        <f>IF(Database!X77&lt;&gt;0,Database!X77/Database!X$93,"")</f>
        <v>0.24920802534318903</v>
      </c>
      <c r="Y52" s="396">
        <f>IF(Database!Y77&lt;&gt;0,Database!Y77/Database!Y$93,"")</f>
        <v>0.24309392265193369</v>
      </c>
      <c r="Z52" s="122">
        <f>IF(Database!Z77&lt;&gt;0,Database!Z77/Database!Z$93,"")</f>
        <v>0.3016983016983017</v>
      </c>
      <c r="AA52" s="122">
        <f>IF(Database!AA77&lt;&gt;0,Database!AA77/Database!AA$93,"")</f>
        <v>0.29263913824057447</v>
      </c>
      <c r="AB52" s="396">
        <f>IF(Database!AB77&lt;&gt;0,Database!AB77/Database!AB$93,"")</f>
        <v>0.29692671394799053</v>
      </c>
      <c r="AC52" s="122">
        <f>IF(Database!AC77&lt;&gt;0,Database!AC77/Database!AC$93,"")</f>
        <v>0.29288595211533508</v>
      </c>
      <c r="AD52" s="122">
        <f>IF(Database!AD77&lt;&gt;0,Database!AD77/Database!AD$93,"")</f>
        <v>0.27580772261623326</v>
      </c>
      <c r="AE52" s="396">
        <f>IF(Database!AE77&lt;&gt;0,Database!AE77/Database!AE$93,"")</f>
        <v>0.2838948233360723</v>
      </c>
      <c r="AF52" s="122">
        <f>IF(Database!AF77&lt;&gt;0,Database!AF77/Database!AF$93,"")</f>
        <v>0.27477840451248992</v>
      </c>
      <c r="AG52" s="122">
        <f>IF(Database!AG77&lt;&gt;0,Database!AG77/Database!AG$93,"")</f>
        <v>0.25902165196471527</v>
      </c>
      <c r="AH52" s="396">
        <f>IF(Database!AH77&lt;&gt;0,Database!AH77/Database!AH$93,"")</f>
        <v>0.26688102893890675</v>
      </c>
      <c r="AI52" s="122">
        <f>IF(Database!AI77&lt;&gt;0,Database!AI77/Database!AI$93,"")</f>
        <v>0.28471528471528473</v>
      </c>
      <c r="AJ52" s="122">
        <f>IF(Database!AJ77&lt;&gt;0,Database!AJ77/Database!AJ$93,"")</f>
        <v>0.5644699140401146</v>
      </c>
      <c r="AK52" s="396">
        <f>IF(Database!AK77&lt;&gt;0,Database!AK77/Database!AK$93,"")</f>
        <v>0.35703703703703704</v>
      </c>
      <c r="AL52" s="122">
        <f>IF(Database!AL77&lt;&gt;0,Database!AL77/Database!AL$93,"")</f>
        <v>0.66932270916334657</v>
      </c>
      <c r="AM52" s="122">
        <f>IF(Database!AM77&lt;&gt;0,Database!AM77/Database!AM$93,"")</f>
        <v>0.32714285714285712</v>
      </c>
      <c r="AN52" s="396">
        <f>IF(Database!AN77&lt;&gt;0,Database!AN77/Database!AN$93,"")</f>
        <v>0.41745531019978976</v>
      </c>
      <c r="AO52" s="122">
        <f>IF(Database!AO77&lt;&gt;0,Database!AO77/Database!AO$93,"")</f>
        <v>0.25590551181102361</v>
      </c>
      <c r="AP52" s="122">
        <f>IF(Database!AP77&lt;&gt;0,Database!AP77/Database!AP$93,"")</f>
        <v>0.23594470046082949</v>
      </c>
      <c r="AQ52" s="396">
        <f>IF(Database!AQ77&lt;&gt;0,Database!AQ77/Database!AQ$93,"")</f>
        <v>0.24559733460257022</v>
      </c>
      <c r="AR52" s="122">
        <f>IF(Database!AR77&lt;&gt;0,Database!AR77/Database!AR$93,"")</f>
        <v>0.18305304597923375</v>
      </c>
      <c r="AS52" s="122">
        <f>IF(Database!AS77&lt;&gt;0,Database!AS77/Database!AS$93,"")</f>
        <v>0.14385422980273271</v>
      </c>
      <c r="AT52" s="396">
        <f>IF(Database!AT77&lt;&gt;0,Database!AT77/Database!AT$93,"")</f>
        <v>0.16315270542827268</v>
      </c>
      <c r="AU52" s="122">
        <f>IF(Database!AU77&lt;&gt;0,Database!AU77/Database!AU$93,"")</f>
        <v>0.1064891846921797</v>
      </c>
      <c r="AV52" s="122">
        <f>IF(Database!AV77&lt;&gt;0,Database!AV77/Database!AV$93,"")</f>
        <v>0.11453027438385452</v>
      </c>
      <c r="AW52" s="396">
        <f>IF(Database!AW77&lt;&gt;0,Database!AW77/Database!AW$93,"")</f>
        <v>0.10990954623107924</v>
      </c>
      <c r="AX52" s="122">
        <f>IF(Database!AX77&lt;&gt;0,Database!AX77/Database!AX$93,"")</f>
        <v>5.356121712101311E-2</v>
      </c>
      <c r="AY52" s="122">
        <f>IF(Database!AY77&lt;&gt;0,Database!AY77/Database!AY$93,"")</f>
        <v>0.11079755541577199</v>
      </c>
      <c r="AZ52" s="396">
        <f>IF(Database!AZ77&lt;&gt;0,Database!AZ77/Database!AZ$93,"")</f>
        <v>7.8878155592769353E-2</v>
      </c>
    </row>
    <row r="53" spans="1:52" s="35" customFormat="1" ht="14.5" x14ac:dyDescent="0.35">
      <c r="A53" s="20"/>
      <c r="B53" s="120" t="s">
        <v>112</v>
      </c>
      <c r="C53" s="121"/>
      <c r="D53" s="121"/>
      <c r="E53" s="121"/>
      <c r="F53" s="121"/>
      <c r="G53" s="121"/>
      <c r="H53" s="121"/>
      <c r="I53" s="121"/>
      <c r="J53" s="121"/>
      <c r="K53" s="121"/>
      <c r="L53" s="121"/>
      <c r="M53" s="121"/>
      <c r="N53" s="121"/>
      <c r="O53" s="121"/>
      <c r="P53" s="121"/>
      <c r="Q53" s="121"/>
      <c r="R53" s="121"/>
      <c r="S53" s="121"/>
      <c r="T53" s="122">
        <f>IF(Database!T81&lt;&gt;0,Database!T81/Database!T$93,"")</f>
        <v>0.39631901840490796</v>
      </c>
      <c r="U53" s="122">
        <f>IF(Database!U81&lt;&gt;0,Database!U81/Database!U$93,"")</f>
        <v>0.32909860859044165</v>
      </c>
      <c r="V53" s="396">
        <f>IF(Database!V81&lt;&gt;0,Database!V81/Database!V$93,"")</f>
        <v>0.36258379037172456</v>
      </c>
      <c r="W53" s="122">
        <f>IF(Database!W81&lt;&gt;0,Database!W81/Database!W$93,"")</f>
        <v>0.3626882966396292</v>
      </c>
      <c r="X53" s="122">
        <f>IF(Database!X81&lt;&gt;0,Database!X81/Database!X$93,"")</f>
        <v>0.33685322069693768</v>
      </c>
      <c r="Y53" s="396">
        <f>IF(Database!Y81&lt;&gt;0,Database!Y81/Database!Y$93,"")</f>
        <v>0.34917127071823206</v>
      </c>
      <c r="Z53" s="122">
        <f>IF(Database!Z81&lt;&gt;0,Database!Z81/Database!Z$93,"")</f>
        <v>0.38561438561438566</v>
      </c>
      <c r="AA53" s="122">
        <f>IF(Database!AA81&lt;&gt;0,Database!AA81/Database!AA$93,"")</f>
        <v>0.37612208258527829</v>
      </c>
      <c r="AB53" s="396">
        <f>IF(Database!AB81&lt;&gt;0,Database!AB81/Database!AB$93,"")</f>
        <v>0.38061465721040189</v>
      </c>
      <c r="AC53" s="122">
        <f>IF(Database!AC81&lt;&gt;0,Database!AC81/Database!AC$93,"")</f>
        <v>0.35269887582596754</v>
      </c>
      <c r="AD53" s="122">
        <f>IF(Database!AD81&lt;&gt;0,Database!AD81/Database!AD$93,"")</f>
        <v>0.35382190701339644</v>
      </c>
      <c r="AE53" s="396">
        <f>IF(Database!AE81&lt;&gt;0,Database!AE81/Database!AE$93,"")</f>
        <v>0.35332785538208711</v>
      </c>
      <c r="AF53" s="122">
        <f>IF(Database!AF81&lt;&gt;0,Database!AF81/Database!AF$93,"")</f>
        <v>0.37630942788074134</v>
      </c>
      <c r="AG53" s="122">
        <f>IF(Database!AG81&lt;&gt;0,Database!AG81/Database!AG$93,"")</f>
        <v>0.35765838011226941</v>
      </c>
      <c r="AH53" s="396">
        <f>IF(Database!AH81&lt;&gt;0,Database!AH81/Database!AH$93,"")</f>
        <v>0.36696141479099675</v>
      </c>
      <c r="AI53" s="122">
        <f>IF(Database!AI81&lt;&gt;0,Database!AI81/Database!AI$93,"")</f>
        <v>0.36963036963036966</v>
      </c>
      <c r="AJ53" s="122">
        <f>IF(Database!AJ81&lt;&gt;0,Database!AJ81/Database!AJ$93,"")</f>
        <v>0.46418338108882523</v>
      </c>
      <c r="AK53" s="396">
        <f>IF(Database!AK81&lt;&gt;0,Database!AK81/Database!AK$93,"")</f>
        <v>0.39407407407407408</v>
      </c>
      <c r="AL53" s="122">
        <f>IF(Database!AL81&lt;&gt;0,Database!AL81/Database!AL$93,"")</f>
        <v>0.36653386454183262</v>
      </c>
      <c r="AM53" s="122">
        <f>IF(Database!AM81&lt;&gt;0,Database!AM81/Database!AM$93,"")</f>
        <v>0.31714285714285712</v>
      </c>
      <c r="AN53" s="396">
        <f>IF(Database!AN81&lt;&gt;0,Database!AN81/Database!AN$93,"")</f>
        <v>0.33017875920084122</v>
      </c>
      <c r="AO53" s="122">
        <f>IF(Database!AO81&lt;&gt;0,Database!AO81/Database!AO$93,"")</f>
        <v>0.35728346456692911</v>
      </c>
      <c r="AP53" s="122">
        <f>IF(Database!AP81&lt;&gt;0,Database!AP81/Database!AP$93,"")</f>
        <v>0.36221198156682027</v>
      </c>
      <c r="AQ53" s="396">
        <f>IF(Database!AQ81&lt;&gt;0,Database!AQ81/Database!AQ$93,"")</f>
        <v>0.35982865302237027</v>
      </c>
      <c r="AR53" s="122">
        <f>IF(Database!AR81&lt;&gt;0,Database!AR81/Database!AR$93,"")</f>
        <v>0.44536082474226807</v>
      </c>
      <c r="AS53" s="122">
        <f>IF(Database!AS81&lt;&gt;0,Database!AS81/Database!AS$93,"")</f>
        <v>0.5693466963686421</v>
      </c>
      <c r="AT53" s="396">
        <f>IF(Database!AT81&lt;&gt;0,Database!AT81/Database!AT$93,"")</f>
        <v>0.50847446244439276</v>
      </c>
      <c r="AU53" s="122">
        <f>IF(Database!AU81&lt;&gt;0,Database!AU81/Database!AU$93,"")</f>
        <v>0.67886855241264554</v>
      </c>
      <c r="AV53" s="122">
        <f>IF(Database!AV81&lt;&gt;0,Database!AV81/Database!AV$93,"")</f>
        <v>0.60571350065971497</v>
      </c>
      <c r="AW53" s="396">
        <f>IF(Database!AW81&lt;&gt;0,Database!AW81/Database!AW$93,"")</f>
        <v>0.6473277242033636</v>
      </c>
      <c r="AX53" s="122">
        <f>IF(Database!AX81&lt;&gt;0,Database!AX81/Database!AX$93,"")</f>
        <v>1.0819129453222016</v>
      </c>
      <c r="AY53" s="122">
        <f>IF(Database!AY81&lt;&gt;0,Database!AY81/Database!AY$93,"")</f>
        <v>1.2141963826766091</v>
      </c>
      <c r="AZ53" s="396">
        <f>IF(Database!AZ81&lt;&gt;0,Database!AZ81/Database!AZ$93,"")</f>
        <v>1.140424928165811</v>
      </c>
    </row>
    <row r="54" spans="1:52" s="35" customFormat="1" ht="14.5" x14ac:dyDescent="0.35">
      <c r="A54" s="1"/>
      <c r="B54" s="120" t="s">
        <v>113</v>
      </c>
      <c r="C54" s="121"/>
      <c r="D54" s="121"/>
      <c r="E54" s="121"/>
      <c r="F54" s="121"/>
      <c r="G54" s="121"/>
      <c r="H54" s="121"/>
      <c r="I54" s="121"/>
      <c r="J54" s="121"/>
      <c r="K54" s="121"/>
      <c r="L54" s="121"/>
      <c r="M54" s="121"/>
      <c r="N54" s="121"/>
      <c r="O54" s="121"/>
      <c r="P54" s="121"/>
      <c r="Q54" s="121"/>
      <c r="R54" s="121"/>
      <c r="S54" s="121"/>
      <c r="T54" s="122">
        <f>IF(Database!T85&lt;&gt;0,Database!T85/Database!T$93,"")</f>
        <v>0.2588957055214724</v>
      </c>
      <c r="U54" s="122">
        <f>IF(Database!U85&lt;&gt;0,Database!U85/Database!U$93,"")</f>
        <v>0.29764065335753181</v>
      </c>
      <c r="V54" s="396">
        <f>IF(Database!V85&lt;&gt;0,Database!V85/Database!V$93,"")</f>
        <v>0.27818403412553322</v>
      </c>
      <c r="W54" s="122">
        <f>IF(Database!W85&lt;&gt;0,Database!W85/Database!W$93,"")</f>
        <v>0.29316338354577059</v>
      </c>
      <c r="X54" s="122">
        <f>IF(Database!X85&lt;&gt;0,Database!X85/Database!X$93,"")</f>
        <v>0.28299894403379094</v>
      </c>
      <c r="Y54" s="396">
        <f>IF(Database!Y85&lt;&gt;0,Database!Y85/Database!Y$93,"")</f>
        <v>0.28784530386740331</v>
      </c>
      <c r="Z54" s="122">
        <f>IF(Database!Z85&lt;&gt;0,Database!Z85/Database!Z$93,"")</f>
        <v>0.18181818181818182</v>
      </c>
      <c r="AA54" s="122">
        <f>IF(Database!AA85&lt;&gt;0,Database!AA85/Database!AA$93,"")</f>
        <v>0.20915619389587076</v>
      </c>
      <c r="AB54" s="396">
        <f>IF(Database!AB85&lt;&gt;0,Database!AB85/Database!AB$93,"")</f>
        <v>0.19621749408983452</v>
      </c>
      <c r="AC54" s="122">
        <f>IF(Database!AC85&lt;&gt;0,Database!AC85/Database!AC$93,"")</f>
        <v>0.1939414742984639</v>
      </c>
      <c r="AD54" s="122">
        <f>IF(Database!AD85&lt;&gt;0,Database!AD85/Database!AD$93,"")</f>
        <v>0.1922773837667455</v>
      </c>
      <c r="AE54" s="396">
        <f>IF(Database!AE85&lt;&gt;0,Database!AE85/Database!AE$93,"")</f>
        <v>0.19309778142974529</v>
      </c>
      <c r="AF54" s="122">
        <f>IF(Database!AF85&lt;&gt;0,Database!AF85/Database!AF$93,"")</f>
        <v>0.19339242546333602</v>
      </c>
      <c r="AG54" s="122">
        <f>IF(Database!AG85&lt;&gt;0,Database!AG85/Database!AG$93,"")</f>
        <v>0.19967923015236563</v>
      </c>
      <c r="AH54" s="396">
        <f>IF(Database!AH85&lt;&gt;0,Database!AH85/Database!AH$93,"")</f>
        <v>0.1965434083601286</v>
      </c>
      <c r="AI54" s="122">
        <f>IF(Database!AI85&lt;&gt;0,Database!AI85/Database!AI$93,"")</f>
        <v>0.18981018981018982</v>
      </c>
      <c r="AJ54" s="122">
        <f>IF(Database!AJ85&lt;&gt;0,Database!AJ85/Database!AJ$93,"")</f>
        <v>-6.8767908309455589E-2</v>
      </c>
      <c r="AK54" s="396">
        <f>IF(Database!AK85&lt;&gt;0,Database!AK85/Database!AK$93,"")</f>
        <v>0.12296296296296297</v>
      </c>
      <c r="AL54" s="122">
        <f>IF(Database!AL85&lt;&gt;0,Database!AL85/Database!AL$93,"")</f>
        <v>-3.9840637450199202E-2</v>
      </c>
      <c r="AM54" s="122">
        <f>IF(Database!AM85&lt;&gt;0,Database!AM85/Database!AM$93,"")</f>
        <v>0.17857142857142858</v>
      </c>
      <c r="AN54" s="396">
        <f>IF(Database!AN85&lt;&gt;0,Database!AN85/Database!AN$93,"")</f>
        <v>0.12092534174553103</v>
      </c>
      <c r="AO54" s="122">
        <f>IF(Database!AO85&lt;&gt;0,Database!AO85/Database!AO$93,"")</f>
        <v>0.17913385826771655</v>
      </c>
      <c r="AP54" s="122">
        <f>IF(Database!AP85&lt;&gt;0,Database!AP85/Database!AP$93,"")</f>
        <v>0.23225806451612901</v>
      </c>
      <c r="AQ54" s="396">
        <f>IF(Database!AQ85&lt;&gt;0,Database!AQ85/Database!AQ$93,"")</f>
        <v>0.20656830080913852</v>
      </c>
      <c r="AR54" s="122">
        <f>IF(Database!AR85&lt;&gt;0,Database!AR85/Database!AR$93,"")</f>
        <v>0.15670103092783505</v>
      </c>
      <c r="AS54" s="122">
        <f>IF(Database!AS85&lt;&gt;0,Database!AS85/Database!AS$93,"")</f>
        <v>0.13506775115899097</v>
      </c>
      <c r="AT54" s="396">
        <f>IF(Database!AT85&lt;&gt;0,Database!AT85/Database!AT$93,"")</f>
        <v>0.1457298542598584</v>
      </c>
      <c r="AU54" s="122">
        <f>IF(Database!AU85&lt;&gt;0,Database!AU85/Database!AU$93,"")</f>
        <v>9.4841930116472545E-2</v>
      </c>
      <c r="AV54" s="122">
        <f>IF(Database!AV85&lt;&gt;0,Database!AV85/Database!AV$93,"")</f>
        <v>1.515607283780014E-2</v>
      </c>
      <c r="AW54" s="396">
        <f>IF(Database!AW85&lt;&gt;0,Database!AW85/Database!AW$93,"")</f>
        <v>6.0993462414968197E-2</v>
      </c>
      <c r="AX54" s="122">
        <f>IF(Database!AX85&lt;&gt;0,Database!AX85/Database!AX$93,"")</f>
        <v>-0.25584778383920986</v>
      </c>
      <c r="AY54" s="122">
        <f>IF(Database!AY85&lt;&gt;0,Database!AY85/Database!AY$93,"")</f>
        <v>3.7576503179347E-2</v>
      </c>
      <c r="AZ54" s="396">
        <f>IF(Database!AZ85&lt;&gt;0,Database!AZ85/Database!AZ$93,"")</f>
        <v>-0.12605952620624414</v>
      </c>
    </row>
    <row r="55" spans="1:52" s="35" customFormat="1" ht="14.5" x14ac:dyDescent="0.3">
      <c r="A55" s="20"/>
      <c r="B55" s="120" t="s">
        <v>114</v>
      </c>
      <c r="C55" s="121"/>
      <c r="D55" s="121"/>
      <c r="E55" s="121"/>
      <c r="F55" s="121"/>
      <c r="G55" s="121"/>
      <c r="H55" s="121"/>
      <c r="I55" s="121"/>
      <c r="J55" s="121"/>
      <c r="K55" s="121"/>
      <c r="L55" s="121"/>
      <c r="M55" s="121"/>
      <c r="N55" s="121"/>
      <c r="O55" s="121"/>
      <c r="P55" s="121"/>
      <c r="Q55" s="121"/>
      <c r="R55" s="121"/>
      <c r="S55" s="121"/>
      <c r="T55" s="122">
        <f>IF(Database!T89&lt;&gt;0,Database!T89/Database!T$93,"")</f>
        <v>6.7484662576687116E-2</v>
      </c>
      <c r="U55" s="122">
        <f>IF(Database!U89&lt;&gt;0,Database!U89/Database!U$93,"")</f>
        <v>0.11252268602540837</v>
      </c>
      <c r="V55" s="472">
        <f>IF(Database!V89&lt;&gt;0,Database!V89/Database!V$93,"")</f>
        <v>8.9884216940889702E-2</v>
      </c>
      <c r="W55" s="122">
        <f>IF(Database!W89&lt;&gt;0,Database!W89/Database!W$93,"")</f>
        <v>0.10776361529548086</v>
      </c>
      <c r="X55" s="122">
        <f>IF(Database!X89&lt;&gt;0,Database!X89/Database!X$93,"")</f>
        <v>0.13093980992608237</v>
      </c>
      <c r="Y55" s="472">
        <f>IF(Database!Y89&lt;&gt;0,Database!Y89/Database!Y$93,"")</f>
        <v>0.11988950276243093</v>
      </c>
      <c r="Z55" s="122">
        <f>IF(Database!Z89&lt;&gt;0,Database!Z89/Database!Z$93,"")</f>
        <v>0.13086913086913088</v>
      </c>
      <c r="AA55" s="122">
        <f>IF(Database!AA89&lt;&gt;0,Database!AA89/Database!AA$93,"")</f>
        <v>0.12208258527827649</v>
      </c>
      <c r="AB55" s="472">
        <f>IF(Database!AB89&lt;&gt;0,Database!AB89/Database!AB$93,"")</f>
        <v>0.12624113475177304</v>
      </c>
      <c r="AC55" s="122">
        <f>IF(Database!AC89&lt;&gt;0,Database!AC89/Database!AC$93,"")</f>
        <v>0.1604736977602334</v>
      </c>
      <c r="AD55" s="122">
        <f>IF(Database!AD89&lt;&gt;0,Database!AD89/Database!AD$93,"")</f>
        <v>0.17809298660362494</v>
      </c>
      <c r="AE55" s="472">
        <f>IF(Database!AE89&lt;&gt;0,Database!AE89/Database!AE$93,"")</f>
        <v>0.16967953985209533</v>
      </c>
      <c r="AF55" s="122">
        <f>IF(Database!AF89&lt;&gt;0,Database!AF89/Database!AF$93,"")</f>
        <v>0.1555197421434327</v>
      </c>
      <c r="AG55" s="122">
        <f>IF(Database!AG89&lt;&gt;0,Database!AG89/Database!AG$93,"")</f>
        <v>0.18364073777064951</v>
      </c>
      <c r="AH55" s="472">
        <f>IF(Database!AH89&lt;&gt;0,Database!AH89/Database!AH$93,"")</f>
        <v>0.16961414790996784</v>
      </c>
      <c r="AI55" s="122">
        <f>IF(Database!AI89&lt;&gt;0,Database!AI89/Database!AI$93,"")</f>
        <v>0.15584415584415584</v>
      </c>
      <c r="AJ55" s="122">
        <f>IF(Database!AJ89&lt;&gt;0,Database!AJ89/Database!AJ$93,"")</f>
        <v>4.0114613180515755E-2</v>
      </c>
      <c r="AK55" s="472">
        <f>IF(Database!AK89&lt;&gt;0,Database!AK89/Database!AK$93,"")</f>
        <v>0.12592592592592591</v>
      </c>
      <c r="AL55" s="122">
        <f>IF(Database!AL89&lt;&gt;0,Database!AL89/Database!AL$93,"")</f>
        <v>3.9840637450199202E-3</v>
      </c>
      <c r="AM55" s="122">
        <f>IF(Database!AM89&lt;&gt;0,Database!AM89/Database!AM$93,"")</f>
        <v>0.17714285714285716</v>
      </c>
      <c r="AN55" s="472">
        <f>IF(Database!AN89&lt;&gt;0,Database!AN89/Database!AN$93,"")</f>
        <v>0.13144058885383808</v>
      </c>
      <c r="AO55" s="122">
        <f>IF(Database!AO89&lt;&gt;0,Database!AO89/Database!AO$93,"")</f>
        <v>0.20767716535433073</v>
      </c>
      <c r="AP55" s="122">
        <f>IF(Database!AP89&lt;&gt;0,Database!AP89/Database!AP$93,"")</f>
        <v>0.16958525345622119</v>
      </c>
      <c r="AQ55" s="472">
        <f>IF(Database!AQ89&lt;&gt;0,Database!AQ89/Database!AQ$93,"")</f>
        <v>0.188005711565921</v>
      </c>
      <c r="AR55" s="122">
        <f>IF(Database!AR89&lt;&gt;0,Database!AR89/Database!AR$93,"")</f>
        <v>0.21443298969072166</v>
      </c>
      <c r="AS55" s="122">
        <f>IF(Database!AS89&lt;&gt;0,Database!AS89/Database!AS$93,"")</f>
        <v>0.15167888474819841</v>
      </c>
      <c r="AT55" s="472">
        <f>IF(Database!AT89&lt;&gt;0,Database!AT89/Database!AT$93,"")</f>
        <v>0.18279524268797623</v>
      </c>
      <c r="AU55" s="122">
        <f>IF(Database!AU89&lt;&gt;0,Database!AU89/Database!AU$93,"")</f>
        <v>0.11980033277870217</v>
      </c>
      <c r="AV55" s="122">
        <f>IF(Database!AV89&lt;&gt;0,Database!AV89/Database!AV$93,"")</f>
        <v>0.26682443738201117</v>
      </c>
      <c r="AW55" s="472">
        <f>IF(Database!AW89&lt;&gt;0,Database!AW89/Database!AW$93,"")</f>
        <v>0.1827209387063512</v>
      </c>
      <c r="AX55" s="122">
        <f>IF(Database!AX89&lt;&gt;0,Database!AX89/Database!AX$93,"")</f>
        <v>0.12037362139599514</v>
      </c>
      <c r="AY55" s="122">
        <f>IF(Database!AY89&lt;&gt;0,Database!AY89/Database!AY$93,"")</f>
        <v>-0.36257044127172805</v>
      </c>
      <c r="AZ55" s="472">
        <f>IF(Database!AZ89&lt;&gt;0,Database!AZ89/Database!AZ$93,"")</f>
        <v>-9.3243557552336209E-2</v>
      </c>
    </row>
    <row r="56" spans="1:52" s="87" customFormat="1" ht="14.5" thickBot="1" x14ac:dyDescent="0.35">
      <c r="A56" s="20"/>
      <c r="B56" s="82" t="s">
        <v>115</v>
      </c>
      <c r="C56" s="83"/>
      <c r="D56" s="83"/>
      <c r="E56" s="83"/>
      <c r="F56" s="83"/>
      <c r="G56" s="83"/>
      <c r="H56" s="83"/>
      <c r="I56" s="83"/>
      <c r="J56" s="83"/>
      <c r="K56" s="83"/>
      <c r="L56" s="83"/>
      <c r="M56" s="83"/>
      <c r="N56" s="83"/>
      <c r="O56" s="83"/>
      <c r="P56" s="83"/>
      <c r="Q56" s="83"/>
      <c r="R56" s="83"/>
      <c r="S56" s="83"/>
      <c r="T56" s="84">
        <f>IF(Database!T93&lt;&gt;0,Database!T93/Database!T$93,"")</f>
        <v>1</v>
      </c>
      <c r="U56" s="84">
        <f>IF(Database!U93&lt;&gt;0,Database!U93/Database!U$93,"")</f>
        <v>1</v>
      </c>
      <c r="V56" s="395">
        <f>IF(Database!V93&lt;&gt;0,Database!V93/Database!V$93,"")</f>
        <v>1</v>
      </c>
      <c r="W56" s="84">
        <f>IF(Database!W93&lt;&gt;0,Database!W93/Database!W$93,"")</f>
        <v>1</v>
      </c>
      <c r="X56" s="84">
        <f>IF(Database!X93&lt;&gt;0,Database!X93/Database!X$93,"")</f>
        <v>1</v>
      </c>
      <c r="Y56" s="395">
        <f>IF(Database!Y93&lt;&gt;0,Database!Y93/Database!Y$93,"")</f>
        <v>1</v>
      </c>
      <c r="Z56" s="84">
        <f>IF(Database!Z93&lt;&gt;0,Database!Z93/Database!Z$93,"")</f>
        <v>1</v>
      </c>
      <c r="AA56" s="84">
        <f>IF(Database!AA93&lt;&gt;0,Database!AA93/Database!AA$93,"")</f>
        <v>1</v>
      </c>
      <c r="AB56" s="395">
        <f>IF(Database!AB93&lt;&gt;0,Database!AB93/Database!AB$93,"")</f>
        <v>1</v>
      </c>
      <c r="AC56" s="84">
        <f>IF(Database!AC93&lt;&gt;0,Database!AC93/Database!AC$93,"")</f>
        <v>1</v>
      </c>
      <c r="AD56" s="84">
        <f>IF(Database!AD93&lt;&gt;0,Database!AD93/Database!AD$93,"")</f>
        <v>1</v>
      </c>
      <c r="AE56" s="395">
        <f>IF(Database!AE93&lt;&gt;0,Database!AE93/Database!AE$93,"")</f>
        <v>1</v>
      </c>
      <c r="AF56" s="84">
        <f>IF(Database!AF93&lt;&gt;0,Database!AF93/Database!AF$93,"")</f>
        <v>1</v>
      </c>
      <c r="AG56" s="84">
        <f>IF(Database!AG93&lt;&gt;0,Database!AG93/Database!AG$93,"")</f>
        <v>1</v>
      </c>
      <c r="AH56" s="395">
        <f>IF(Database!AH93&lt;&gt;0,Database!AH93/Database!AH$93,"")</f>
        <v>1</v>
      </c>
      <c r="AI56" s="84">
        <f>IF(Database!AI93&lt;&gt;0,Database!AI93/Database!AI$93,"")</f>
        <v>1</v>
      </c>
      <c r="AJ56" s="84">
        <f>IF(Database!AJ93&lt;&gt;0,Database!AJ93/Database!AJ$93,"")</f>
        <v>1</v>
      </c>
      <c r="AK56" s="395">
        <f>IF(Database!AK93&lt;&gt;0,Database!AK93/Database!AK$93,"")</f>
        <v>1</v>
      </c>
      <c r="AL56" s="84">
        <f>IF(Database!AL93&lt;&gt;0,Database!AL93/Database!AL$93,"")</f>
        <v>1</v>
      </c>
      <c r="AM56" s="84">
        <f>IF(Database!AM93&lt;&gt;0,Database!AM93/Database!AM$93,"")</f>
        <v>1</v>
      </c>
      <c r="AN56" s="395">
        <f>IF(Database!AN93&lt;&gt;0,Database!AN93/Database!AN$93,"")</f>
        <v>1</v>
      </c>
      <c r="AO56" s="84">
        <f>IF(Database!AO93&lt;&gt;0,Database!AO93/Database!AO$93,"")</f>
        <v>1</v>
      </c>
      <c r="AP56" s="84">
        <f>IF(Database!AP93&lt;&gt;0,Database!AP93/Database!AP$93,"")</f>
        <v>1</v>
      </c>
      <c r="AQ56" s="395">
        <f>IF(Database!AQ93&lt;&gt;0,Database!AQ93/Database!AQ$93,"")</f>
        <v>1</v>
      </c>
      <c r="AR56" s="84">
        <f>IF(Database!AR93&lt;&gt;0,Database!AR93/Database!AR$93,"")</f>
        <v>1</v>
      </c>
      <c r="AS56" s="84">
        <f>IF(Database!AS93&lt;&gt;0,Database!AS93/Database!AS$93,"")</f>
        <v>1</v>
      </c>
      <c r="AT56" s="395">
        <f>IF(Database!AT93&lt;&gt;0,Database!AT93/Database!AT$93,"")</f>
        <v>1</v>
      </c>
      <c r="AU56" s="84">
        <f>IF(Database!AU93&lt;&gt;0,Database!AU93/Database!AU$93,"")</f>
        <v>1</v>
      </c>
      <c r="AV56" s="84">
        <f>IF(Database!AV93&lt;&gt;0,Database!AV93/Database!AV$93,"")</f>
        <v>1</v>
      </c>
      <c r="AW56" s="395">
        <f>IF(Database!AW93&lt;&gt;0,Database!AW93/Database!AW$93,"")</f>
        <v>1</v>
      </c>
      <c r="AX56" s="84">
        <f>IF(Database!AX93&lt;&gt;0,Database!AX93/Database!AX$93,"")</f>
        <v>1</v>
      </c>
      <c r="AY56" s="84">
        <f>IF(Database!AY93&lt;&gt;0,Database!AY93/Database!AY$93,"")</f>
        <v>1</v>
      </c>
      <c r="AZ56" s="395">
        <f>IF(Database!AZ93&lt;&gt;0,Database!AZ93/Database!AZ$93,"")</f>
        <v>1</v>
      </c>
    </row>
    <row r="57" spans="1:52" s="17" customFormat="1" ht="14.5" thickTop="1" x14ac:dyDescent="0.3">
      <c r="A57" s="20"/>
      <c r="T57" s="222">
        <f>SUM(T52:T55)</f>
        <v>1</v>
      </c>
      <c r="U57" s="36"/>
      <c r="V57" s="54"/>
      <c r="W57" s="222"/>
      <c r="X57" s="294"/>
      <c r="Y57" s="54"/>
      <c r="Z57" s="311"/>
      <c r="AA57" s="294"/>
      <c r="AB57" s="295"/>
      <c r="AC57" s="311"/>
      <c r="AD57" s="294"/>
      <c r="AE57" s="295"/>
      <c r="AF57" s="311"/>
      <c r="AG57" s="294"/>
      <c r="AH57" s="295"/>
      <c r="AI57" s="294"/>
      <c r="AJ57" s="294"/>
      <c r="AK57" s="295"/>
      <c r="AL57" s="294"/>
      <c r="AM57" s="294"/>
      <c r="AN57" s="295"/>
      <c r="AO57" s="294"/>
      <c r="AP57" s="294"/>
      <c r="AQ57" s="295"/>
      <c r="AR57" s="294"/>
      <c r="AS57" s="294"/>
      <c r="AT57" s="295"/>
      <c r="AU57" s="294"/>
      <c r="AV57" s="294"/>
      <c r="AW57" s="295"/>
      <c r="AX57" s="294"/>
      <c r="AY57" s="294"/>
      <c r="AZ57" s="295"/>
    </row>
    <row r="58" spans="1:52" s="17" customFormat="1" ht="15" customHeight="1" x14ac:dyDescent="0.3">
      <c r="A58" s="451"/>
      <c r="B58" s="204" t="s">
        <v>712</v>
      </c>
      <c r="C58" s="200"/>
      <c r="D58" s="200"/>
      <c r="E58" s="200"/>
      <c r="F58" s="200"/>
      <c r="G58" s="200"/>
      <c r="H58" s="200"/>
      <c r="I58" s="200"/>
      <c r="J58" s="200"/>
      <c r="K58" s="200"/>
      <c r="L58" s="200"/>
      <c r="M58" s="200"/>
      <c r="N58" s="200"/>
      <c r="O58" s="200"/>
      <c r="P58" s="200"/>
      <c r="Q58" s="200"/>
      <c r="R58" s="200"/>
      <c r="S58" s="200"/>
      <c r="T58" s="201" t="str">
        <f t="shared" ref="T58:AZ58" si="32">T$5</f>
        <v>H1 15</v>
      </c>
      <c r="U58" s="201" t="str">
        <f t="shared" si="32"/>
        <v>H2 15</v>
      </c>
      <c r="V58" s="202" t="str">
        <f t="shared" si="32"/>
        <v>FY15</v>
      </c>
      <c r="W58" s="201" t="str">
        <f t="shared" si="32"/>
        <v>H1 16</v>
      </c>
      <c r="X58" s="277" t="str">
        <f t="shared" si="32"/>
        <v>H2 16</v>
      </c>
      <c r="Y58" s="202" t="str">
        <f t="shared" si="32"/>
        <v>FY16</v>
      </c>
      <c r="Z58" s="277" t="str">
        <f t="shared" si="32"/>
        <v>H1 17</v>
      </c>
      <c r="AA58" s="277" t="str">
        <f t="shared" si="32"/>
        <v>H2 17</v>
      </c>
      <c r="AB58" s="278" t="str">
        <f t="shared" si="32"/>
        <v>FY17</v>
      </c>
      <c r="AC58" s="277" t="str">
        <f t="shared" si="32"/>
        <v>H1 18</v>
      </c>
      <c r="AD58" s="277" t="str">
        <f t="shared" si="32"/>
        <v>H2 18</v>
      </c>
      <c r="AE58" s="278" t="str">
        <f t="shared" si="32"/>
        <v>FY18</v>
      </c>
      <c r="AF58" s="277" t="str">
        <f t="shared" si="32"/>
        <v>H1 19</v>
      </c>
      <c r="AG58" s="277" t="str">
        <f t="shared" si="32"/>
        <v>H2 19</v>
      </c>
      <c r="AH58" s="278" t="str">
        <f t="shared" si="32"/>
        <v>FY19</v>
      </c>
      <c r="AI58" s="277" t="str">
        <f t="shared" si="32"/>
        <v>H1 20</v>
      </c>
      <c r="AJ58" s="277" t="str">
        <f t="shared" si="32"/>
        <v>H2 20</v>
      </c>
      <c r="AK58" s="278" t="str">
        <f t="shared" si="32"/>
        <v>FY20</v>
      </c>
      <c r="AL58" s="277" t="str">
        <f t="shared" si="32"/>
        <v>H1 21</v>
      </c>
      <c r="AM58" s="277" t="str">
        <f t="shared" si="32"/>
        <v>H2 21</v>
      </c>
      <c r="AN58" s="278" t="str">
        <f t="shared" si="32"/>
        <v>FY21</v>
      </c>
      <c r="AO58" s="277" t="str">
        <f t="shared" si="32"/>
        <v>H1 22</v>
      </c>
      <c r="AP58" s="277" t="str">
        <f t="shared" si="32"/>
        <v>H2 22</v>
      </c>
      <c r="AQ58" s="278" t="str">
        <f t="shared" si="32"/>
        <v>FY22</v>
      </c>
      <c r="AR58" s="277" t="str">
        <f t="shared" si="32"/>
        <v>H1 23</v>
      </c>
      <c r="AS58" s="277" t="str">
        <f t="shared" si="32"/>
        <v>H2 23</v>
      </c>
      <c r="AT58" s="278" t="str">
        <f t="shared" si="32"/>
        <v>FY23</v>
      </c>
      <c r="AU58" s="277" t="str">
        <f t="shared" si="32"/>
        <v>H1 24</v>
      </c>
      <c r="AV58" s="277" t="str">
        <f t="shared" si="32"/>
        <v>H2 24</v>
      </c>
      <c r="AW58" s="278" t="str">
        <f t="shared" si="32"/>
        <v>FY24</v>
      </c>
      <c r="AX58" s="277" t="str">
        <f t="shared" si="32"/>
        <v>H1 25</v>
      </c>
      <c r="AY58" s="277" t="str">
        <f t="shared" si="32"/>
        <v>H2 25</v>
      </c>
      <c r="AZ58" s="278" t="str">
        <f t="shared" si="32"/>
        <v>FY25</v>
      </c>
    </row>
    <row r="59" spans="1:52" s="138" customFormat="1" x14ac:dyDescent="0.3">
      <c r="A59" s="25"/>
      <c r="B59" s="487" t="s">
        <v>507</v>
      </c>
      <c r="C59" s="487"/>
      <c r="D59" s="487"/>
      <c r="E59" s="487"/>
      <c r="F59" s="487"/>
      <c r="G59" s="487"/>
      <c r="H59" s="487"/>
      <c r="I59" s="487"/>
      <c r="J59" s="487"/>
      <c r="K59" s="487"/>
      <c r="L59" s="487"/>
      <c r="M59" s="487"/>
      <c r="N59" s="487"/>
      <c r="O59" s="487"/>
      <c r="P59" s="487"/>
      <c r="Q59" s="487"/>
      <c r="R59" s="487"/>
      <c r="S59" s="487"/>
      <c r="T59" s="487"/>
      <c r="U59" s="487"/>
      <c r="V59" s="488"/>
      <c r="W59" s="487"/>
      <c r="X59" s="489"/>
      <c r="Y59" s="488"/>
      <c r="Z59" s="489"/>
      <c r="AA59" s="489"/>
      <c r="AB59" s="490"/>
      <c r="AC59" s="489"/>
      <c r="AD59" s="489"/>
      <c r="AE59" s="490"/>
      <c r="AF59" s="489"/>
      <c r="AG59" s="489"/>
      <c r="AH59" s="490"/>
      <c r="AI59" s="489"/>
      <c r="AJ59" s="489"/>
      <c r="AK59" s="490"/>
      <c r="AL59" s="489"/>
      <c r="AM59" s="489"/>
      <c r="AN59" s="490"/>
      <c r="AO59" s="489"/>
      <c r="AP59" s="489"/>
      <c r="AQ59" s="490"/>
      <c r="AR59" s="489"/>
      <c r="AS59" s="489"/>
      <c r="AT59" s="490"/>
      <c r="AU59" s="489"/>
      <c r="AV59" s="489"/>
      <c r="AW59" s="490"/>
      <c r="AX59" s="489"/>
      <c r="AY59" s="489"/>
      <c r="AZ59" s="490"/>
    </row>
    <row r="60" spans="1:52" s="138" customFormat="1" x14ac:dyDescent="0.3">
      <c r="A60" s="25"/>
      <c r="B60" s="457" t="s">
        <v>713</v>
      </c>
      <c r="C60" s="458"/>
      <c r="D60" s="458"/>
      <c r="E60" s="458"/>
      <c r="F60" s="458"/>
      <c r="G60" s="458"/>
      <c r="H60" s="458"/>
      <c r="I60" s="458"/>
      <c r="J60" s="458"/>
      <c r="K60" s="458"/>
      <c r="L60" s="458"/>
      <c r="M60" s="458"/>
      <c r="N60" s="458"/>
      <c r="O60" s="458"/>
      <c r="P60" s="458"/>
      <c r="Q60" s="458"/>
      <c r="R60" s="458"/>
      <c r="S60" s="458"/>
      <c r="T60" s="458"/>
      <c r="U60" s="458"/>
      <c r="V60" s="459"/>
      <c r="W60" s="458"/>
      <c r="X60" s="460"/>
      <c r="Y60" s="459"/>
      <c r="Z60" s="460"/>
      <c r="AA60" s="460"/>
      <c r="AB60" s="461"/>
      <c r="AC60" s="460"/>
      <c r="AD60" s="460"/>
      <c r="AE60" s="461"/>
      <c r="AF60" s="460"/>
      <c r="AG60" s="460"/>
      <c r="AH60" s="461"/>
      <c r="AI60" s="460"/>
      <c r="AJ60" s="460"/>
      <c r="AK60" s="461"/>
      <c r="AL60" s="460"/>
      <c r="AM60" s="460"/>
      <c r="AN60" s="461"/>
      <c r="AO60" s="460"/>
      <c r="AP60" s="460"/>
      <c r="AQ60" s="461"/>
      <c r="AR60" s="460"/>
      <c r="AS60" s="460"/>
      <c r="AT60" s="461"/>
      <c r="AU60" s="460"/>
      <c r="AV60" s="460"/>
      <c r="AW60" s="461"/>
      <c r="AX60" s="460"/>
      <c r="AY60" s="460"/>
      <c r="AZ60" s="461"/>
    </row>
    <row r="61" spans="1:52" s="35" customFormat="1" ht="14.5" x14ac:dyDescent="0.35">
      <c r="A61" s="46"/>
      <c r="B61" s="394" t="s">
        <v>497</v>
      </c>
      <c r="C61" s="121"/>
      <c r="D61" s="121"/>
      <c r="E61" s="121"/>
      <c r="F61" s="121"/>
      <c r="G61" s="121"/>
      <c r="H61" s="121"/>
      <c r="I61" s="121"/>
      <c r="J61" s="121"/>
      <c r="K61" s="121"/>
      <c r="L61" s="121"/>
      <c r="M61" s="121"/>
      <c r="N61" s="121"/>
      <c r="O61" s="121"/>
      <c r="P61" s="121"/>
      <c r="Q61" s="121"/>
      <c r="R61" s="121"/>
      <c r="S61" s="121"/>
      <c r="T61" s="122">
        <v>0.26</v>
      </c>
      <c r="U61" s="122">
        <f>((V61*Database!V$32)-(T61*Database!T$32))/Database!U$32</f>
        <v>0.26</v>
      </c>
      <c r="V61" s="396">
        <v>0.26</v>
      </c>
      <c r="W61" s="122">
        <v>0.28000000000000003</v>
      </c>
      <c r="X61" s="122">
        <f>((Y61*Database!Y$32)-(W61*Database!W$32))/Database!X$32</f>
        <v>0.28000000000000003</v>
      </c>
      <c r="Y61" s="396">
        <v>0.28000000000000003</v>
      </c>
      <c r="Z61" s="122">
        <v>0.28000000000000003</v>
      </c>
      <c r="AA61" s="122">
        <f>((AB61*Database!AB$32)-(Z61*Database!Z$32))/Database!AA$32</f>
        <v>0.26048251891228802</v>
      </c>
      <c r="AB61" s="396">
        <v>0.27</v>
      </c>
      <c r="AC61" s="122">
        <v>0.28000000000000003</v>
      </c>
      <c r="AD61" s="122">
        <f>((AE61*Database!AE$32)-(AC61*Database!AC$32))/Database!AD$32</f>
        <v>0.24077513711151738</v>
      </c>
      <c r="AE61" s="396">
        <v>0.26</v>
      </c>
      <c r="AF61" s="122">
        <v>0.24</v>
      </c>
      <c r="AG61" s="122">
        <f>((AH61*Database!AH$32)-(AF61*Database!AF$32))/Database!AG$32</f>
        <v>0.21988784048424428</v>
      </c>
      <c r="AH61" s="396">
        <v>0.23</v>
      </c>
      <c r="AI61" s="122">
        <v>0.22</v>
      </c>
      <c r="AJ61" s="122">
        <f>((AK61*Database!AK$32)-(AI61*Database!AI$32))/Database!AJ$32</f>
        <v>0.19751749040848565</v>
      </c>
      <c r="AK61" s="396">
        <v>0.21</v>
      </c>
      <c r="AL61" s="122">
        <v>0.21</v>
      </c>
      <c r="AM61" s="122">
        <f>((AN61*Database!AN$32)-(AL61*Database!AL$32))/Database!AM$32</f>
        <v>0.20999999999999996</v>
      </c>
      <c r="AN61" s="396">
        <v>0.21</v>
      </c>
      <c r="AO61" s="122">
        <v>0.18</v>
      </c>
      <c r="AP61" s="122">
        <f>((AQ61*Database!AQ$32)-(AO61*Database!AO$32))/Database!AP$32</f>
        <v>0.19905784329434389</v>
      </c>
      <c r="AQ61" s="396">
        <v>0.19</v>
      </c>
      <c r="AR61" s="122">
        <v>0.21</v>
      </c>
      <c r="AS61" s="122">
        <v>0.21</v>
      </c>
      <c r="AT61" s="396">
        <v>0.21</v>
      </c>
      <c r="AU61" s="122">
        <v>0.19</v>
      </c>
      <c r="AV61" s="122">
        <v>0.19</v>
      </c>
      <c r="AW61" s="396">
        <v>0.19</v>
      </c>
      <c r="AX61" s="122">
        <v>0.19</v>
      </c>
      <c r="AY61" s="122">
        <v>0.19</v>
      </c>
      <c r="AZ61" s="396">
        <v>0.19</v>
      </c>
    </row>
    <row r="62" spans="1:52" s="35" customFormat="1" ht="14.5" x14ac:dyDescent="0.35">
      <c r="A62" s="46"/>
      <c r="B62" s="394" t="s">
        <v>704</v>
      </c>
      <c r="C62" s="121"/>
      <c r="D62" s="121"/>
      <c r="E62" s="121"/>
      <c r="F62" s="121"/>
      <c r="G62" s="121"/>
      <c r="H62" s="121"/>
      <c r="I62" s="121"/>
      <c r="J62" s="121"/>
      <c r="K62" s="121"/>
      <c r="L62" s="121"/>
      <c r="M62" s="121"/>
      <c r="N62" s="121"/>
      <c r="O62" s="121"/>
      <c r="P62" s="121"/>
      <c r="Q62" s="121"/>
      <c r="R62" s="121"/>
      <c r="S62" s="121"/>
      <c r="T62" s="122">
        <v>0.1</v>
      </c>
      <c r="U62" s="122">
        <f>((V62*Database!V$32)-(T62*Database!T$32))/Database!U$32</f>
        <v>0.1</v>
      </c>
      <c r="V62" s="396">
        <v>0.1</v>
      </c>
      <c r="W62" s="122">
        <v>0.1</v>
      </c>
      <c r="X62" s="122">
        <f>((Y62*Database!Y$32)-(W62*Database!W$32))/Database!X$32</f>
        <v>0.10000000000000002</v>
      </c>
      <c r="Y62" s="396">
        <v>0.1</v>
      </c>
      <c r="Z62" s="122">
        <v>0.11</v>
      </c>
      <c r="AA62" s="122">
        <f>((AB62*Database!AB$32)-(Z62*Database!Z$32))/Database!AA$32</f>
        <v>9.0482518912287924E-2</v>
      </c>
      <c r="AB62" s="396">
        <v>0.1</v>
      </c>
      <c r="AC62" s="122">
        <v>0.1</v>
      </c>
      <c r="AD62" s="122">
        <f>((AE62*Database!AE$32)-(AC62*Database!AC$32))/Database!AD$32</f>
        <v>0.1</v>
      </c>
      <c r="AE62" s="396">
        <v>0.1</v>
      </c>
      <c r="AF62" s="122">
        <v>0.12</v>
      </c>
      <c r="AG62" s="122">
        <f>((AH62*Database!AH$32)-(AF62*Database!AF$32))/Database!AG$32</f>
        <v>0.11999999999999998</v>
      </c>
      <c r="AH62" s="396">
        <v>0.12</v>
      </c>
      <c r="AI62" s="122">
        <v>0.13</v>
      </c>
      <c r="AJ62" s="122">
        <f>((AK62*Database!AK$32)-(AI62*Database!AI$32))/Database!AJ$32</f>
        <v>0.12999999999999998</v>
      </c>
      <c r="AK62" s="396">
        <v>0.13</v>
      </c>
      <c r="AL62" s="122">
        <v>0.14000000000000001</v>
      </c>
      <c r="AM62" s="122">
        <f>((AN62*Database!AN$32)-(AL62*Database!AL$32))/Database!AM$32</f>
        <v>0.14000000000000001</v>
      </c>
      <c r="AN62" s="396">
        <v>0.14000000000000001</v>
      </c>
      <c r="AO62" s="122">
        <v>0.15</v>
      </c>
      <c r="AP62" s="122">
        <f>((AQ62*Database!AQ$32)-(AO62*Database!AO$32))/Database!AP$32</f>
        <v>0.15000000000000002</v>
      </c>
      <c r="AQ62" s="396">
        <v>0.15</v>
      </c>
      <c r="AR62" s="122">
        <v>0.16</v>
      </c>
      <c r="AS62" s="122">
        <v>0.16</v>
      </c>
      <c r="AT62" s="396">
        <v>0.16</v>
      </c>
      <c r="AU62" s="122">
        <v>0.16</v>
      </c>
      <c r="AV62" s="122">
        <v>0.16</v>
      </c>
      <c r="AW62" s="396">
        <v>0.16</v>
      </c>
      <c r="AX62" s="122">
        <v>0.17</v>
      </c>
      <c r="AY62" s="122">
        <v>0.17</v>
      </c>
      <c r="AZ62" s="396">
        <v>0.17</v>
      </c>
    </row>
    <row r="63" spans="1:52" s="35" customFormat="1" ht="14.5" x14ac:dyDescent="0.35">
      <c r="A63" s="27"/>
      <c r="B63" s="394" t="s">
        <v>499</v>
      </c>
      <c r="C63" s="121"/>
      <c r="D63" s="121"/>
      <c r="E63" s="121"/>
      <c r="F63" s="121"/>
      <c r="G63" s="121"/>
      <c r="H63" s="121"/>
      <c r="I63" s="121"/>
      <c r="J63" s="121"/>
      <c r="K63" s="121"/>
      <c r="L63" s="121"/>
      <c r="M63" s="121"/>
      <c r="N63" s="121"/>
      <c r="O63" s="121"/>
      <c r="P63" s="121"/>
      <c r="Q63" s="121"/>
      <c r="R63" s="121"/>
      <c r="S63" s="121"/>
      <c r="T63" s="122">
        <v>0.13</v>
      </c>
      <c r="U63" s="122">
        <f>((V63*Database!V$32)-(T63*Database!T$32))/Database!U$32</f>
        <v>0.13</v>
      </c>
      <c r="V63" s="396">
        <v>0.13</v>
      </c>
      <c r="W63" s="122">
        <v>0.13</v>
      </c>
      <c r="X63" s="122">
        <f>((Y63*Database!Y$32)-(W63*Database!W$32))/Database!X$32</f>
        <v>0.13</v>
      </c>
      <c r="Y63" s="396">
        <v>0.13</v>
      </c>
      <c r="Z63" s="122">
        <v>0.13</v>
      </c>
      <c r="AA63" s="122">
        <f>((AB63*Database!AB$32)-(Z63*Database!Z$32))/Database!AA$32</f>
        <v>0.11048251891228789</v>
      </c>
      <c r="AB63" s="396">
        <v>0.12</v>
      </c>
      <c r="AC63" s="122">
        <v>0.12</v>
      </c>
      <c r="AD63" s="122">
        <f>((AE63*Database!AE$32)-(AC63*Database!AC$32))/Database!AD$32</f>
        <v>0.12</v>
      </c>
      <c r="AE63" s="396">
        <v>0.12</v>
      </c>
      <c r="AF63" s="122">
        <v>0.13</v>
      </c>
      <c r="AG63" s="122">
        <f>((AH63*Database!AH$32)-(AF63*Database!AF$32))/Database!AG$32</f>
        <v>0.13</v>
      </c>
      <c r="AH63" s="396">
        <v>0.13</v>
      </c>
      <c r="AI63" s="122">
        <v>0.11</v>
      </c>
      <c r="AJ63" s="122">
        <f>((AK63*Database!AK$32)-(AI63*Database!AI$32))/Database!AJ$32</f>
        <v>0.11000000000000001</v>
      </c>
      <c r="AK63" s="396">
        <v>0.11</v>
      </c>
      <c r="AL63" s="122">
        <v>0.09</v>
      </c>
      <c r="AM63" s="122">
        <f>((AN63*Database!AN$32)-(AL63*Database!AL$32))/Database!AM$32</f>
        <v>0.10853624066222492</v>
      </c>
      <c r="AN63" s="396">
        <v>0.1</v>
      </c>
      <c r="AO63" s="122">
        <v>0.11</v>
      </c>
      <c r="AP63" s="122">
        <f>((AQ63*Database!AQ$32)-(AO63*Database!AO$32))/Database!AP$32</f>
        <v>0.11000000000000001</v>
      </c>
      <c r="AQ63" s="396">
        <v>0.11</v>
      </c>
      <c r="AR63" s="122">
        <v>0.11</v>
      </c>
      <c r="AS63" s="122">
        <v>0.11</v>
      </c>
      <c r="AT63" s="396">
        <v>0.11</v>
      </c>
      <c r="AU63" s="122">
        <v>0.11</v>
      </c>
      <c r="AV63" s="122">
        <v>0.11</v>
      </c>
      <c r="AW63" s="396">
        <v>0.11</v>
      </c>
      <c r="AX63" s="122">
        <v>0.11</v>
      </c>
      <c r="AY63" s="122">
        <v>0.11</v>
      </c>
      <c r="AZ63" s="396">
        <v>0.11</v>
      </c>
    </row>
    <row r="64" spans="1:52" s="35" customFormat="1" ht="14.5" x14ac:dyDescent="0.35">
      <c r="A64" s="25"/>
      <c r="B64" s="394" t="s">
        <v>496</v>
      </c>
      <c r="C64" s="121"/>
      <c r="D64" s="121"/>
      <c r="E64" s="121"/>
      <c r="F64" s="121"/>
      <c r="G64" s="121"/>
      <c r="H64" s="121"/>
      <c r="I64" s="121"/>
      <c r="J64" s="121"/>
      <c r="K64" s="121"/>
      <c r="L64" s="121"/>
      <c r="M64" s="121"/>
      <c r="N64" s="121"/>
      <c r="O64" s="121"/>
      <c r="P64" s="121"/>
      <c r="Q64" s="121"/>
      <c r="R64" s="121"/>
      <c r="S64" s="121"/>
      <c r="T64" s="122">
        <v>0.15</v>
      </c>
      <c r="U64" s="122">
        <f>((V64*Database!V$32)-(T64*Database!T$32))/Database!U$32</f>
        <v>0.15000000000000005</v>
      </c>
      <c r="V64" s="396">
        <v>0.15</v>
      </c>
      <c r="W64" s="122">
        <v>0.15</v>
      </c>
      <c r="X64" s="122">
        <f>((Y64*Database!Y$32)-(W64*Database!W$32))/Database!X$32</f>
        <v>0.13039912917271412</v>
      </c>
      <c r="Y64" s="396">
        <v>0.14000000000000001</v>
      </c>
      <c r="Z64" s="122">
        <v>0.14000000000000001</v>
      </c>
      <c r="AA64" s="122">
        <f>((AB64*Database!AB$32)-(Z64*Database!Z$32))/Database!AA$32</f>
        <v>0.14000000000000007</v>
      </c>
      <c r="AB64" s="396">
        <v>0.14000000000000001</v>
      </c>
      <c r="AC64" s="122">
        <v>0.13</v>
      </c>
      <c r="AD64" s="122">
        <f>((AE64*Database!AE$32)-(AC64*Database!AC$32))/Database!AD$32</f>
        <v>0.13</v>
      </c>
      <c r="AE64" s="396">
        <v>0.13</v>
      </c>
      <c r="AF64" s="122">
        <v>0.12</v>
      </c>
      <c r="AG64" s="122">
        <f>((AH64*Database!AH$32)-(AF64*Database!AF$32))/Database!AG$32</f>
        <v>0.11999999999999998</v>
      </c>
      <c r="AH64" s="396">
        <v>0.12</v>
      </c>
      <c r="AI64" s="122">
        <v>0.11</v>
      </c>
      <c r="AJ64" s="122">
        <f>((AK64*Database!AK$32)-(AI64*Database!AI$32))/Database!AJ$32</f>
        <v>8.7517490408485679E-2</v>
      </c>
      <c r="AK64" s="396">
        <v>0.1</v>
      </c>
      <c r="AL64" s="122">
        <v>0.09</v>
      </c>
      <c r="AM64" s="122">
        <f>((AN64*Database!AN$32)-(AL64*Database!AL$32))/Database!AM$32</f>
        <v>0.10853624066222492</v>
      </c>
      <c r="AN64" s="396">
        <v>0.1</v>
      </c>
      <c r="AO64" s="122">
        <v>0.1</v>
      </c>
      <c r="AP64" s="122">
        <f>((AQ64*Database!AQ$32)-(AO64*Database!AO$32))/Database!AP$32</f>
        <v>0.10000000000000002</v>
      </c>
      <c r="AQ64" s="396">
        <v>0.1</v>
      </c>
      <c r="AR64" s="122">
        <v>0.11</v>
      </c>
      <c r="AS64" s="122">
        <v>0.11</v>
      </c>
      <c r="AT64" s="396">
        <v>0.11</v>
      </c>
      <c r="AU64" s="122">
        <v>0.12</v>
      </c>
      <c r="AV64" s="122">
        <v>0.12</v>
      </c>
      <c r="AW64" s="396">
        <v>0.12</v>
      </c>
      <c r="AX64" s="122">
        <v>0.11</v>
      </c>
      <c r="AY64" s="122">
        <v>0.11</v>
      </c>
      <c r="AZ64" s="396">
        <v>0.11</v>
      </c>
    </row>
    <row r="65" spans="1:52" s="35" customFormat="1" ht="14.5" x14ac:dyDescent="0.35">
      <c r="A65" s="30"/>
      <c r="B65" s="394" t="s">
        <v>500</v>
      </c>
      <c r="C65" s="121"/>
      <c r="D65" s="121"/>
      <c r="E65" s="121"/>
      <c r="F65" s="121"/>
      <c r="G65" s="121"/>
      <c r="H65" s="121"/>
      <c r="I65" s="121"/>
      <c r="J65" s="121"/>
      <c r="K65" s="121"/>
      <c r="L65" s="121"/>
      <c r="M65" s="121"/>
      <c r="N65" s="121"/>
      <c r="O65" s="121"/>
      <c r="P65" s="121"/>
      <c r="Q65" s="121"/>
      <c r="R65" s="121"/>
      <c r="S65" s="121"/>
      <c r="T65" s="122"/>
      <c r="U65" s="122"/>
      <c r="V65" s="396"/>
      <c r="W65" s="122"/>
      <c r="X65" s="122"/>
      <c r="Y65" s="396"/>
      <c r="Z65" s="122"/>
      <c r="AA65" s="122"/>
      <c r="AB65" s="396"/>
      <c r="AC65" s="122"/>
      <c r="AD65" s="122"/>
      <c r="AE65" s="396"/>
      <c r="AF65" s="122"/>
      <c r="AG65" s="122">
        <f>((AH65*Database!AH$32)-(AF65*Database!AF$32))/Database!AG$32</f>
        <v>0.16089727612604593</v>
      </c>
      <c r="AH65" s="396">
        <v>0.08</v>
      </c>
      <c r="AI65" s="122">
        <v>0.11</v>
      </c>
      <c r="AJ65" s="122">
        <f>((AK65*Database!AK$32)-(AI65*Database!AI$32))/Database!AJ$32</f>
        <v>0.11000000000000001</v>
      </c>
      <c r="AK65" s="396">
        <v>0.11</v>
      </c>
      <c r="AL65" s="122">
        <v>0.11</v>
      </c>
      <c r="AM65" s="122">
        <f>((AN65*Database!AN$32)-(AL65*Database!AL$32))/Database!AM$32</f>
        <v>0.10999999999999999</v>
      </c>
      <c r="AN65" s="396">
        <v>0.11</v>
      </c>
      <c r="AO65" s="122">
        <v>0.11</v>
      </c>
      <c r="AP65" s="122">
        <f>((AQ65*Database!AQ$32)-(AO65*Database!AO$32))/Database!AP$32</f>
        <v>0.11000000000000001</v>
      </c>
      <c r="AQ65" s="396">
        <v>0.11</v>
      </c>
      <c r="AR65" s="122">
        <v>0.1</v>
      </c>
      <c r="AS65" s="122">
        <v>0.1</v>
      </c>
      <c r="AT65" s="396">
        <v>0.1</v>
      </c>
      <c r="AU65" s="122">
        <v>0.03</v>
      </c>
      <c r="AV65" s="122">
        <v>0.03</v>
      </c>
      <c r="AW65" s="396">
        <v>0.03</v>
      </c>
      <c r="AX65" s="122">
        <v>0</v>
      </c>
      <c r="AY65" s="122">
        <v>0</v>
      </c>
      <c r="AZ65" s="396">
        <v>0</v>
      </c>
    </row>
    <row r="66" spans="1:52" s="35" customFormat="1" ht="14.5" x14ac:dyDescent="0.35">
      <c r="A66" s="46"/>
      <c r="B66" s="394" t="s">
        <v>714</v>
      </c>
      <c r="C66" s="121"/>
      <c r="D66" s="121"/>
      <c r="E66" s="121"/>
      <c r="F66" s="121"/>
      <c r="G66" s="121"/>
      <c r="H66" s="121"/>
      <c r="I66" s="121"/>
      <c r="J66" s="121"/>
      <c r="K66" s="121"/>
      <c r="L66" s="121"/>
      <c r="M66" s="121"/>
      <c r="N66" s="121"/>
      <c r="O66" s="121"/>
      <c r="P66" s="121"/>
      <c r="Q66" s="121"/>
      <c r="R66" s="121"/>
      <c r="S66" s="121"/>
      <c r="T66" s="122">
        <v>0.03</v>
      </c>
      <c r="U66" s="122">
        <f>((V66*Database!V$32)-(T66*Database!T$32))/Database!U$32</f>
        <v>3.0000000000000006E-2</v>
      </c>
      <c r="V66" s="396">
        <v>0.03</v>
      </c>
      <c r="W66" s="122">
        <v>0.04</v>
      </c>
      <c r="X66" s="122">
        <f>((Y66*Database!Y$32)-(W66*Database!W$32))/Database!X$32</f>
        <v>4.0000000000000008E-2</v>
      </c>
      <c r="Y66" s="396">
        <v>0.04</v>
      </c>
      <c r="Z66" s="122">
        <v>0.04</v>
      </c>
      <c r="AA66" s="122">
        <f>((AB66*Database!AB$32)-(Z66*Database!Z$32))/Database!AA$32</f>
        <v>4.0000000000000008E-2</v>
      </c>
      <c r="AB66" s="396">
        <v>0.04</v>
      </c>
      <c r="AC66" s="122">
        <v>0.04</v>
      </c>
      <c r="AD66" s="122">
        <f>((AE66*Database!AE$32)-(AC66*Database!AC$32))/Database!AD$32</f>
        <v>0.04</v>
      </c>
      <c r="AE66" s="396">
        <v>0.04</v>
      </c>
      <c r="AF66" s="122">
        <v>0.04</v>
      </c>
      <c r="AG66" s="122">
        <f>((AH66*Database!AH$32)-(AF66*Database!AF$32))/Database!AG$32</f>
        <v>0.04</v>
      </c>
      <c r="AH66" s="396">
        <v>0.04</v>
      </c>
      <c r="AI66" s="122">
        <v>0.05</v>
      </c>
      <c r="AJ66" s="122">
        <f>((AK66*Database!AK$32)-(AI66*Database!AI$32))/Database!AJ$32</f>
        <v>0.05</v>
      </c>
      <c r="AK66" s="396">
        <v>0.05</v>
      </c>
      <c r="AL66" s="122">
        <v>0.05</v>
      </c>
      <c r="AM66" s="122">
        <f>((AN66*Database!AN$32)-(AL66*Database!AL$32))/Database!AM$32</f>
        <v>0.05</v>
      </c>
      <c r="AN66" s="396">
        <v>0.05</v>
      </c>
      <c r="AO66" s="122">
        <v>0.05</v>
      </c>
      <c r="AP66" s="122">
        <f>((AQ66*Database!AQ$32)-(AO66*Database!AO$32))/Database!AP$32</f>
        <v>5.000000000000001E-2</v>
      </c>
      <c r="AQ66" s="396">
        <v>0.05</v>
      </c>
      <c r="AR66" s="122">
        <v>0.05</v>
      </c>
      <c r="AS66" s="122">
        <v>0.05</v>
      </c>
      <c r="AT66" s="396">
        <v>0.05</v>
      </c>
      <c r="AU66" s="122">
        <v>0.06</v>
      </c>
      <c r="AV66" s="122">
        <v>0.06</v>
      </c>
      <c r="AW66" s="396">
        <v>0.06</v>
      </c>
      <c r="AX66" s="122">
        <v>0.04</v>
      </c>
      <c r="AY66" s="122">
        <v>0.04</v>
      </c>
      <c r="AZ66" s="396">
        <v>0.04</v>
      </c>
    </row>
    <row r="67" spans="1:52" s="35" customFormat="1" ht="14.5" x14ac:dyDescent="0.35">
      <c r="A67" s="46"/>
      <c r="B67" s="394" t="s">
        <v>680</v>
      </c>
      <c r="C67" s="121"/>
      <c r="D67" s="121"/>
      <c r="E67" s="121"/>
      <c r="F67" s="121"/>
      <c r="G67" s="121"/>
      <c r="H67" s="121"/>
      <c r="I67" s="121"/>
      <c r="J67" s="121"/>
      <c r="K67" s="121"/>
      <c r="L67" s="121"/>
      <c r="M67" s="121"/>
      <c r="N67" s="121"/>
      <c r="O67" s="121"/>
      <c r="P67" s="121"/>
      <c r="Q67" s="121"/>
      <c r="R67" s="121"/>
      <c r="S67" s="121"/>
      <c r="T67" s="122">
        <v>7.0000000000000007E-2</v>
      </c>
      <c r="U67" s="122">
        <f>((V67*Database!V$32)-(T67*Database!T$32))/Database!U$32</f>
        <v>4.9905337891138581E-2</v>
      </c>
      <c r="V67" s="396">
        <v>0.06</v>
      </c>
      <c r="W67" s="122">
        <v>0.04</v>
      </c>
      <c r="X67" s="122">
        <f>((Y67*Database!Y$32)-(W67*Database!W$32))/Database!X$32</f>
        <v>4.0000000000000008E-2</v>
      </c>
      <c r="Y67" s="396">
        <v>0.04</v>
      </c>
      <c r="Z67" s="122">
        <v>0.04</v>
      </c>
      <c r="AA67" s="122">
        <f>((AB67*Database!AB$32)-(Z67*Database!Z$32))/Database!AA$32</f>
        <v>4.0000000000000008E-2</v>
      </c>
      <c r="AB67" s="396">
        <v>0.04</v>
      </c>
      <c r="AC67" s="122">
        <v>0.04</v>
      </c>
      <c r="AD67" s="122">
        <f>((AE67*Database!AE$32)-(AC67*Database!AC$32))/Database!AD$32</f>
        <v>0.04</v>
      </c>
      <c r="AE67" s="396">
        <v>0.04</v>
      </c>
      <c r="AF67" s="122">
        <v>0.05</v>
      </c>
      <c r="AG67" s="122">
        <f>((AH67*Database!AH$32)-(AF67*Database!AF$32))/Database!AG$32</f>
        <v>2.9887840484244258E-2</v>
      </c>
      <c r="AH67" s="396">
        <v>0.04</v>
      </c>
      <c r="AI67" s="122">
        <v>0.04</v>
      </c>
      <c r="AJ67" s="122">
        <f>((AK67*Database!AK$32)-(AI67*Database!AI$32))/Database!AJ$32</f>
        <v>4.0000000000000008E-2</v>
      </c>
      <c r="AK67" s="396">
        <v>0.04</v>
      </c>
      <c r="AL67" s="122">
        <v>0.05</v>
      </c>
      <c r="AM67" s="122">
        <f>((AN67*Database!AN$32)-(AL67*Database!AL$32))/Database!AM$32</f>
        <v>3.1463759337775093E-2</v>
      </c>
      <c r="AN67" s="396">
        <v>0.04</v>
      </c>
      <c r="AO67" s="122">
        <v>0.04</v>
      </c>
      <c r="AP67" s="122">
        <f>((AQ67*Database!AQ$32)-(AO67*Database!AO$32))/Database!AP$32</f>
        <v>2.0942156705656152E-2</v>
      </c>
      <c r="AQ67" s="396">
        <v>0.03</v>
      </c>
      <c r="AR67" s="122">
        <v>0.03</v>
      </c>
      <c r="AS67" s="122">
        <v>0.03</v>
      </c>
      <c r="AT67" s="396">
        <v>0.03</v>
      </c>
      <c r="AU67" s="122">
        <v>0.03</v>
      </c>
      <c r="AV67" s="122">
        <v>0.03</v>
      </c>
      <c r="AW67" s="396">
        <v>0.03</v>
      </c>
      <c r="AX67" s="122">
        <v>0.04</v>
      </c>
      <c r="AY67" s="122">
        <v>0.04</v>
      </c>
      <c r="AZ67" s="396">
        <v>0.04</v>
      </c>
    </row>
    <row r="68" spans="1:52" s="35" customFormat="1" ht="14.5" x14ac:dyDescent="0.35">
      <c r="B68" s="394" t="s">
        <v>502</v>
      </c>
      <c r="C68" s="121"/>
      <c r="D68" s="121"/>
      <c r="E68" s="121"/>
      <c r="F68" s="121"/>
      <c r="G68" s="121"/>
      <c r="H68" s="121"/>
      <c r="I68" s="121"/>
      <c r="J68" s="121"/>
      <c r="K68" s="121"/>
      <c r="L68" s="121"/>
      <c r="M68" s="121"/>
      <c r="N68" s="121"/>
      <c r="O68" s="121"/>
      <c r="P68" s="121"/>
      <c r="Q68" s="121"/>
      <c r="R68" s="121"/>
      <c r="S68" s="121"/>
      <c r="T68" s="122">
        <v>0.04</v>
      </c>
      <c r="U68" s="122">
        <f>((V68*Database!V$32)-(T68*Database!T$32))/Database!U$32</f>
        <v>0.04</v>
      </c>
      <c r="V68" s="396">
        <v>0.04</v>
      </c>
      <c r="W68" s="122">
        <v>0.04</v>
      </c>
      <c r="X68" s="122">
        <f>((Y68*Database!Y$32)-(W68*Database!W$32))/Database!X$32</f>
        <v>4.0000000000000008E-2</v>
      </c>
      <c r="Y68" s="396">
        <v>0.04</v>
      </c>
      <c r="Z68" s="122">
        <v>0.05</v>
      </c>
      <c r="AA68" s="122">
        <f>((AB68*Database!AB$32)-(Z68*Database!Z$32))/Database!AA$32</f>
        <v>5.0000000000000017E-2</v>
      </c>
      <c r="AB68" s="396">
        <v>0.05</v>
      </c>
      <c r="AC68" s="122">
        <v>0.04</v>
      </c>
      <c r="AD68" s="122">
        <f>((AE68*Database!AE$32)-(AC68*Database!AC$32))/Database!AD$32</f>
        <v>5.9612431444241325E-2</v>
      </c>
      <c r="AE68" s="396">
        <v>0.05</v>
      </c>
      <c r="AF68" s="122">
        <v>0.04</v>
      </c>
      <c r="AG68" s="122">
        <f>((AH68*Database!AH$32)-(AF68*Database!AF$32))/Database!AG$32</f>
        <v>0.04</v>
      </c>
      <c r="AH68" s="396">
        <v>0.04</v>
      </c>
      <c r="AI68" s="122">
        <v>0.04</v>
      </c>
      <c r="AJ68" s="122">
        <f>((AK68*Database!AK$32)-(AI68*Database!AI$32))/Database!AJ$32</f>
        <v>4.0000000000000008E-2</v>
      </c>
      <c r="AK68" s="396">
        <v>0.04</v>
      </c>
      <c r="AL68" s="122">
        <v>0.04</v>
      </c>
      <c r="AM68" s="122">
        <f>((AN68*Database!AN$32)-(AL68*Database!AL$32))/Database!AM$32</f>
        <v>4.0000000000000008E-2</v>
      </c>
      <c r="AN68" s="396">
        <v>0.04</v>
      </c>
      <c r="AO68" s="122">
        <v>0.04</v>
      </c>
      <c r="AP68" s="122">
        <f>((AQ68*Database!AQ$32)-(AO68*Database!AO$32))/Database!AP$32</f>
        <v>4.0000000000000015E-2</v>
      </c>
      <c r="AQ68" s="396">
        <v>0.04</v>
      </c>
      <c r="AR68" s="122">
        <v>0.04</v>
      </c>
      <c r="AS68" s="122">
        <v>0.04</v>
      </c>
      <c r="AT68" s="396">
        <v>0.04</v>
      </c>
      <c r="AU68" s="122">
        <v>0.03</v>
      </c>
      <c r="AV68" s="122">
        <v>0.03</v>
      </c>
      <c r="AW68" s="396">
        <v>0.03</v>
      </c>
      <c r="AX68" s="122">
        <v>0.03</v>
      </c>
      <c r="AY68" s="122">
        <v>0.03</v>
      </c>
      <c r="AZ68" s="396">
        <v>0.03</v>
      </c>
    </row>
    <row r="69" spans="1:52" s="35" customFormat="1" ht="14.5" x14ac:dyDescent="0.35">
      <c r="B69" s="394" t="s">
        <v>503</v>
      </c>
      <c r="C69" s="121"/>
      <c r="D69" s="121"/>
      <c r="E69" s="121"/>
      <c r="F69" s="121"/>
      <c r="G69" s="121"/>
      <c r="H69" s="121"/>
      <c r="I69" s="121"/>
      <c r="J69" s="121"/>
      <c r="K69" s="121"/>
      <c r="L69" s="121"/>
      <c r="M69" s="121"/>
      <c r="N69" s="121"/>
      <c r="O69" s="121"/>
      <c r="P69" s="121"/>
      <c r="Q69" s="121"/>
      <c r="R69" s="121"/>
      <c r="S69" s="121"/>
      <c r="T69" s="122">
        <f t="shared" ref="T69:AG69" si="33">1-SUM(T61:T68)</f>
        <v>0.21999999999999997</v>
      </c>
      <c r="U69" s="122">
        <f t="shared" si="33"/>
        <v>0.24009466210886132</v>
      </c>
      <c r="V69" s="396">
        <f t="shared" si="33"/>
        <v>0.22999999999999998</v>
      </c>
      <c r="W69" s="122">
        <f t="shared" si="33"/>
        <v>0.21999999999999986</v>
      </c>
      <c r="X69" s="122">
        <f t="shared" si="33"/>
        <v>0.23960087082728576</v>
      </c>
      <c r="Y69" s="396">
        <f t="shared" si="33"/>
        <v>0.22999999999999987</v>
      </c>
      <c r="Z69" s="122">
        <f t="shared" si="33"/>
        <v>0.20999999999999985</v>
      </c>
      <c r="AA69" s="122">
        <f t="shared" si="33"/>
        <v>0.26855244326313599</v>
      </c>
      <c r="AB69" s="396">
        <f t="shared" si="33"/>
        <v>0.23999999999999988</v>
      </c>
      <c r="AC69" s="122">
        <f t="shared" si="33"/>
        <v>0.24999999999999989</v>
      </c>
      <c r="AD69" s="122">
        <f t="shared" si="33"/>
        <v>0.26961243144424119</v>
      </c>
      <c r="AE69" s="396">
        <f t="shared" si="33"/>
        <v>0.2599999999999999</v>
      </c>
      <c r="AF69" s="122">
        <f t="shared" si="33"/>
        <v>0.2599999999999999</v>
      </c>
      <c r="AG69" s="122">
        <f t="shared" si="33"/>
        <v>0.13932704290546549</v>
      </c>
      <c r="AH69" s="396">
        <v>0.3</v>
      </c>
      <c r="AI69" s="122">
        <f t="shared" ref="AI69:AP69" si="34">1-SUM(AI61:AI68)</f>
        <v>0.18999999999999995</v>
      </c>
      <c r="AJ69" s="122">
        <f t="shared" si="34"/>
        <v>0.23496501918302859</v>
      </c>
      <c r="AK69" s="396">
        <f t="shared" si="34"/>
        <v>0.20999999999999996</v>
      </c>
      <c r="AL69" s="122">
        <f t="shared" si="34"/>
        <v>0.21999999999999997</v>
      </c>
      <c r="AM69" s="122">
        <f t="shared" si="34"/>
        <v>0.20146375933777505</v>
      </c>
      <c r="AN69" s="396">
        <f t="shared" si="34"/>
        <v>0.20999999999999996</v>
      </c>
      <c r="AO69" s="122">
        <f t="shared" si="34"/>
        <v>0.21999999999999997</v>
      </c>
      <c r="AP69" s="122">
        <f t="shared" si="34"/>
        <v>0.21999999999999986</v>
      </c>
      <c r="AQ69" s="396">
        <v>0.22</v>
      </c>
      <c r="AR69" s="122">
        <f>1-SUM(AR61:AR68)</f>
        <v>0.18999999999999995</v>
      </c>
      <c r="AS69" s="122">
        <f>1-SUM(AS61:AS68)</f>
        <v>0.18999999999999995</v>
      </c>
      <c r="AT69" s="396">
        <f>1-SUM(AT61:AT68)</f>
        <v>0.18999999999999995</v>
      </c>
      <c r="AU69" s="122">
        <f>1-SUM(AU61:AU68)</f>
        <v>0.27</v>
      </c>
      <c r="AV69" s="122">
        <f t="shared" ref="AV69:AZ69" si="35">1-SUM(AV61:AV68)</f>
        <v>0.27</v>
      </c>
      <c r="AW69" s="396">
        <f t="shared" si="35"/>
        <v>0.27</v>
      </c>
      <c r="AX69" s="122">
        <f t="shared" si="35"/>
        <v>0.30999999999999994</v>
      </c>
      <c r="AY69" s="122">
        <f t="shared" si="35"/>
        <v>0.30999999999999994</v>
      </c>
      <c r="AZ69" s="396">
        <f t="shared" si="35"/>
        <v>0.30999999999999994</v>
      </c>
    </row>
    <row r="70" spans="1:52" s="87" customFormat="1" ht="14.5" thickBot="1" x14ac:dyDescent="0.35">
      <c r="A70" s="35"/>
      <c r="B70" s="82" t="s">
        <v>715</v>
      </c>
      <c r="C70" s="83"/>
      <c r="D70" s="83"/>
      <c r="E70" s="83"/>
      <c r="F70" s="83"/>
      <c r="G70" s="83"/>
      <c r="H70" s="83"/>
      <c r="I70" s="83"/>
      <c r="J70" s="83"/>
      <c r="K70" s="83"/>
      <c r="L70" s="83"/>
      <c r="M70" s="83"/>
      <c r="N70" s="83"/>
      <c r="O70" s="83"/>
      <c r="P70" s="83"/>
      <c r="Q70" s="83"/>
      <c r="R70" s="83"/>
      <c r="S70" s="83"/>
      <c r="T70" s="84">
        <f t="shared" ref="T70:AU70" si="36">SUM(T61:T69)</f>
        <v>1</v>
      </c>
      <c r="U70" s="84">
        <f t="shared" si="36"/>
        <v>1</v>
      </c>
      <c r="V70" s="395">
        <f t="shared" si="36"/>
        <v>1</v>
      </c>
      <c r="W70" s="84">
        <f t="shared" si="36"/>
        <v>1</v>
      </c>
      <c r="X70" s="84">
        <f t="shared" si="36"/>
        <v>1</v>
      </c>
      <c r="Y70" s="395">
        <f t="shared" si="36"/>
        <v>1</v>
      </c>
      <c r="Z70" s="84">
        <f t="shared" si="36"/>
        <v>1</v>
      </c>
      <c r="AA70" s="84">
        <f t="shared" si="36"/>
        <v>1</v>
      </c>
      <c r="AB70" s="395">
        <f t="shared" si="36"/>
        <v>1</v>
      </c>
      <c r="AC70" s="84">
        <f t="shared" si="36"/>
        <v>1</v>
      </c>
      <c r="AD70" s="84">
        <f t="shared" si="36"/>
        <v>1</v>
      </c>
      <c r="AE70" s="395">
        <f t="shared" si="36"/>
        <v>1</v>
      </c>
      <c r="AF70" s="84">
        <f t="shared" si="36"/>
        <v>1</v>
      </c>
      <c r="AG70" s="84">
        <f t="shared" si="36"/>
        <v>1</v>
      </c>
      <c r="AH70" s="395">
        <f t="shared" si="36"/>
        <v>1.1000000000000001</v>
      </c>
      <c r="AI70" s="84">
        <f t="shared" si="36"/>
        <v>1</v>
      </c>
      <c r="AJ70" s="84">
        <f t="shared" si="36"/>
        <v>1</v>
      </c>
      <c r="AK70" s="395">
        <f t="shared" si="36"/>
        <v>1</v>
      </c>
      <c r="AL70" s="84">
        <f t="shared" si="36"/>
        <v>1</v>
      </c>
      <c r="AM70" s="84">
        <f t="shared" si="36"/>
        <v>1</v>
      </c>
      <c r="AN70" s="395">
        <f t="shared" si="36"/>
        <v>1</v>
      </c>
      <c r="AO70" s="84">
        <f t="shared" si="36"/>
        <v>1</v>
      </c>
      <c r="AP70" s="84">
        <f t="shared" si="36"/>
        <v>1</v>
      </c>
      <c r="AQ70" s="395">
        <f t="shared" si="36"/>
        <v>1</v>
      </c>
      <c r="AR70" s="84">
        <f t="shared" si="36"/>
        <v>1</v>
      </c>
      <c r="AS70" s="84">
        <f t="shared" si="36"/>
        <v>1</v>
      </c>
      <c r="AT70" s="395">
        <f t="shared" si="36"/>
        <v>1</v>
      </c>
      <c r="AU70" s="84">
        <f t="shared" si="36"/>
        <v>1</v>
      </c>
      <c r="AV70" s="84">
        <f t="shared" ref="AV70:AY70" si="37">SUM(AV61:AV69)</f>
        <v>1</v>
      </c>
      <c r="AW70" s="395">
        <f t="shared" si="37"/>
        <v>1</v>
      </c>
      <c r="AX70" s="84">
        <f t="shared" si="37"/>
        <v>1</v>
      </c>
      <c r="AY70" s="84">
        <f t="shared" si="37"/>
        <v>1</v>
      </c>
      <c r="AZ70" s="395">
        <f t="shared" ref="AZ70" si="38">SUM(AZ61:AZ69)</f>
        <v>1</v>
      </c>
    </row>
    <row r="71" spans="1:52" ht="14.5" thickTop="1" x14ac:dyDescent="0.3">
      <c r="A71" s="25"/>
      <c r="T71" s="288"/>
      <c r="U71" s="288"/>
      <c r="V71" s="479"/>
      <c r="W71" s="288"/>
      <c r="Y71" s="479"/>
      <c r="AB71" s="479"/>
      <c r="AE71" s="479"/>
      <c r="AG71" s="288"/>
      <c r="AH71" s="479"/>
      <c r="AK71" s="479"/>
      <c r="AN71" s="479"/>
      <c r="AQ71" s="479"/>
      <c r="AT71" s="479"/>
      <c r="AV71" s="288"/>
      <c r="AW71" s="479"/>
      <c r="AX71" s="288"/>
      <c r="AY71" s="288"/>
      <c r="AZ71" s="479"/>
    </row>
    <row r="72" spans="1:52" s="138" customFormat="1" ht="13" x14ac:dyDescent="0.3">
      <c r="A72" s="25"/>
      <c r="B72" s="462" t="s">
        <v>716</v>
      </c>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c r="AA72" s="463"/>
      <c r="AB72" s="464"/>
      <c r="AC72" s="463"/>
      <c r="AD72" s="463"/>
      <c r="AE72" s="464"/>
      <c r="AF72" s="463"/>
      <c r="AG72" s="463"/>
      <c r="AH72" s="464"/>
      <c r="AI72" s="463"/>
      <c r="AJ72" s="463"/>
      <c r="AK72" s="464"/>
      <c r="AL72" s="463"/>
      <c r="AM72" s="463"/>
      <c r="AN72" s="464"/>
      <c r="AO72" s="463"/>
      <c r="AP72" s="464"/>
      <c r="AQ72" s="464"/>
      <c r="AR72" s="463"/>
      <c r="AS72" s="463"/>
      <c r="AT72" s="464"/>
      <c r="AU72" s="463"/>
      <c r="AV72" s="463"/>
      <c r="AW72" s="464"/>
      <c r="AX72" s="463"/>
      <c r="AY72" s="463"/>
      <c r="AZ72" s="464"/>
    </row>
    <row r="73" spans="1:52" s="35" customFormat="1" ht="14.5" x14ac:dyDescent="0.35">
      <c r="A73" s="46"/>
      <c r="B73" s="394" t="s">
        <v>704</v>
      </c>
      <c r="C73" s="121"/>
      <c r="D73" s="121"/>
      <c r="E73" s="121"/>
      <c r="F73" s="121"/>
      <c r="G73" s="121"/>
      <c r="H73" s="121"/>
      <c r="I73" s="121"/>
      <c r="J73" s="121"/>
      <c r="K73" s="121"/>
      <c r="L73" s="121"/>
      <c r="M73" s="121"/>
      <c r="N73" s="121"/>
      <c r="O73" s="121"/>
      <c r="P73" s="121"/>
      <c r="Q73" s="121"/>
      <c r="R73" s="121"/>
      <c r="S73" s="121"/>
      <c r="T73" s="122">
        <v>0.41</v>
      </c>
      <c r="U73" s="122">
        <f>((V73*Database!V$32)-(T73*Database!T$32))/Database!U$32</f>
        <v>0.41000000000000009</v>
      </c>
      <c r="V73" s="396">
        <v>0.41</v>
      </c>
      <c r="W73" s="122">
        <v>0.41</v>
      </c>
      <c r="X73" s="122">
        <f>((Y73*Database!Y$32)-(W73*Database!W$32))/Database!X$32</f>
        <v>0.42960087082728587</v>
      </c>
      <c r="Y73" s="396">
        <v>0.42</v>
      </c>
      <c r="Z73" s="122">
        <v>0.43</v>
      </c>
      <c r="AA73" s="122">
        <f>((AB73*Database!AB$32)-(Z73*Database!Z$32))/Database!AA$32</f>
        <v>0.41048251891228793</v>
      </c>
      <c r="AB73" s="396">
        <v>0.42</v>
      </c>
      <c r="AC73" s="122">
        <v>0.42</v>
      </c>
      <c r="AD73" s="122">
        <f>((AE73*Database!AE$32)-(AC73*Database!AC$32))/Database!AD$32</f>
        <v>0.40038756855575863</v>
      </c>
      <c r="AE73" s="396">
        <v>0.41</v>
      </c>
      <c r="AF73" s="122">
        <v>0.4</v>
      </c>
      <c r="AG73" s="122">
        <f>((AH73*Database!AH$32)-(AF73*Database!AF$32))/Database!AG$32</f>
        <v>0.42011215951575559</v>
      </c>
      <c r="AH73" s="396">
        <v>0.41</v>
      </c>
      <c r="AI73" s="122">
        <v>0.41</v>
      </c>
      <c r="AJ73" s="122">
        <f>((AK73*Database!AK$32)-(AI73*Database!AI$32))/Database!AJ$32</f>
        <v>0.43248250959151435</v>
      </c>
      <c r="AK73" s="396">
        <v>0.42</v>
      </c>
      <c r="AL73" s="122">
        <v>0.45</v>
      </c>
      <c r="AM73" s="122">
        <f>((AN73*Database!AN$32)-(AL73*Database!AL$32))/Database!AM$32</f>
        <v>0.39439127801332519</v>
      </c>
      <c r="AN73" s="396">
        <v>0.42</v>
      </c>
      <c r="AO73" s="122">
        <v>0.39</v>
      </c>
      <c r="AP73" s="122">
        <f>((AQ73*Database!AQ$32)-(AO73*Database!AO$32))/Database!AP$32</f>
        <v>0.37094215670565622</v>
      </c>
      <c r="AQ73" s="396">
        <v>0.38</v>
      </c>
      <c r="AR73" s="122">
        <v>0.35</v>
      </c>
      <c r="AS73" s="122">
        <v>0.35</v>
      </c>
      <c r="AT73" s="396">
        <v>0.35</v>
      </c>
      <c r="AU73" s="122">
        <v>0.33</v>
      </c>
      <c r="AV73" s="122">
        <v>0.33</v>
      </c>
      <c r="AW73" s="396">
        <v>0.33</v>
      </c>
      <c r="AX73" s="122">
        <v>0.33</v>
      </c>
      <c r="AY73" s="122">
        <v>0.33</v>
      </c>
      <c r="AZ73" s="396">
        <v>0.33</v>
      </c>
    </row>
    <row r="74" spans="1:52" s="35" customFormat="1" ht="14.5" x14ac:dyDescent="0.35">
      <c r="A74" s="46"/>
      <c r="B74" s="394" t="s">
        <v>498</v>
      </c>
      <c r="C74" s="121"/>
      <c r="D74" s="121"/>
      <c r="E74" s="121"/>
      <c r="F74" s="121"/>
      <c r="G74" s="121"/>
      <c r="H74" s="121"/>
      <c r="I74" s="121"/>
      <c r="J74" s="121"/>
      <c r="K74" s="121"/>
      <c r="L74" s="121"/>
      <c r="M74" s="121"/>
      <c r="N74" s="121"/>
      <c r="O74" s="121"/>
      <c r="P74" s="121"/>
      <c r="Q74" s="121"/>
      <c r="R74" s="121"/>
      <c r="S74" s="121"/>
      <c r="T74" s="122">
        <v>0.32</v>
      </c>
      <c r="U74" s="122">
        <f>((V74*Database!V$32)-(T74*Database!T$32))/Database!U$32</f>
        <v>0.32</v>
      </c>
      <c r="V74" s="396">
        <v>0.32</v>
      </c>
      <c r="W74" s="122">
        <v>0.31</v>
      </c>
      <c r="X74" s="122">
        <f>((Y74*Database!Y$32)-(W74*Database!W$32))/Database!X$32</f>
        <v>0.31</v>
      </c>
      <c r="Y74" s="396">
        <v>0.31</v>
      </c>
      <c r="Z74" s="122">
        <v>0.3</v>
      </c>
      <c r="AA74" s="122">
        <f>((AB74*Database!AB$32)-(Z74*Database!Z$32))/Database!AA$32</f>
        <v>0.3000000000000001</v>
      </c>
      <c r="AB74" s="396">
        <v>0.3</v>
      </c>
      <c r="AC74" s="122">
        <v>0.28999999999999998</v>
      </c>
      <c r="AD74" s="122">
        <f>((AE74*Database!AE$32)-(AC74*Database!AC$32))/Database!AD$32</f>
        <v>0.28999999999999998</v>
      </c>
      <c r="AE74" s="396">
        <v>0.28999999999999998</v>
      </c>
      <c r="AF74" s="122">
        <v>0.28000000000000003</v>
      </c>
      <c r="AG74" s="122">
        <f>((AH74*Database!AH$32)-(AF74*Database!AF$32))/Database!AG$32</f>
        <v>0.27999999999999997</v>
      </c>
      <c r="AH74" s="396">
        <v>0.28000000000000003</v>
      </c>
      <c r="AI74" s="122">
        <v>0.27</v>
      </c>
      <c r="AJ74" s="122">
        <f>((AK74*Database!AK$32)-(AI74*Database!AI$32))/Database!AJ$32</f>
        <v>0.22503498081697132</v>
      </c>
      <c r="AK74" s="396">
        <v>0.25</v>
      </c>
      <c r="AL74" s="122">
        <v>0.22</v>
      </c>
      <c r="AM74" s="122">
        <f>((AN74*Database!AN$32)-(AL74*Database!AL$32))/Database!AM$32</f>
        <v>0.23853624066222492</v>
      </c>
      <c r="AN74" s="396">
        <v>0.23</v>
      </c>
      <c r="AO74" s="122">
        <v>0.25</v>
      </c>
      <c r="AP74" s="122">
        <f>((AQ74*Database!AQ$32)-(AO74*Database!AO$32))/Database!AP$32</f>
        <v>0.25000000000000006</v>
      </c>
      <c r="AQ74" s="396">
        <v>0.25</v>
      </c>
      <c r="AR74" s="122">
        <v>0.25</v>
      </c>
      <c r="AS74" s="122">
        <v>0.25</v>
      </c>
      <c r="AT74" s="396">
        <v>0.25</v>
      </c>
      <c r="AU74" s="122">
        <v>0.27</v>
      </c>
      <c r="AV74" s="122">
        <v>0.27</v>
      </c>
      <c r="AW74" s="396">
        <v>0.27</v>
      </c>
      <c r="AX74" s="122">
        <v>0.25</v>
      </c>
      <c r="AY74" s="122">
        <v>0.25</v>
      </c>
      <c r="AZ74" s="396">
        <v>0.25</v>
      </c>
    </row>
    <row r="75" spans="1:52" s="35" customFormat="1" ht="14.5" x14ac:dyDescent="0.35">
      <c r="A75" s="46"/>
      <c r="B75" s="394" t="s">
        <v>496</v>
      </c>
      <c r="C75" s="121"/>
      <c r="D75" s="121"/>
      <c r="E75" s="121"/>
      <c r="F75" s="121"/>
      <c r="G75" s="121"/>
      <c r="H75" s="121"/>
      <c r="I75" s="121"/>
      <c r="J75" s="121"/>
      <c r="K75" s="121"/>
      <c r="L75" s="121"/>
      <c r="M75" s="121"/>
      <c r="N75" s="121"/>
      <c r="O75" s="121"/>
      <c r="P75" s="121"/>
      <c r="Q75" s="121"/>
      <c r="R75" s="121"/>
      <c r="S75" s="121"/>
      <c r="T75" s="122">
        <v>0.1</v>
      </c>
      <c r="U75" s="122">
        <f>((V75*Database!V$32)-(T75*Database!T$32))/Database!U$32</f>
        <v>0.12009466210886145</v>
      </c>
      <c r="V75" s="396">
        <v>0.11</v>
      </c>
      <c r="W75" s="122">
        <v>0.11</v>
      </c>
      <c r="X75" s="122">
        <f>((Y75*Database!Y$32)-(W75*Database!W$32))/Database!X$32</f>
        <v>0.11</v>
      </c>
      <c r="Y75" s="396">
        <v>0.11</v>
      </c>
      <c r="Z75" s="122">
        <v>0.11</v>
      </c>
      <c r="AA75" s="122">
        <f>((AB75*Database!AB$32)-(Z75*Database!Z$32))/Database!AA$32</f>
        <v>0.11000000000000003</v>
      </c>
      <c r="AB75" s="396">
        <v>0.11</v>
      </c>
      <c r="AC75" s="122">
        <v>0.13</v>
      </c>
      <c r="AD75" s="122">
        <f>((AE75*Database!AE$32)-(AC75*Database!AC$32))/Database!AD$32</f>
        <v>0.14961243144424133</v>
      </c>
      <c r="AE75" s="396">
        <v>0.14000000000000001</v>
      </c>
      <c r="AF75" s="122">
        <v>0.15</v>
      </c>
      <c r="AG75" s="122">
        <f>((AH75*Database!AH$32)-(AF75*Database!AF$32))/Database!AG$32</f>
        <v>0.15</v>
      </c>
      <c r="AH75" s="396">
        <v>0.15</v>
      </c>
      <c r="AI75" s="122">
        <v>0.15</v>
      </c>
      <c r="AJ75" s="122">
        <f>((AK75*Database!AK$32)-(AI75*Database!AI$32))/Database!AJ$32</f>
        <v>0.15</v>
      </c>
      <c r="AK75" s="396">
        <v>0.15</v>
      </c>
      <c r="AL75" s="122">
        <v>0.16</v>
      </c>
      <c r="AM75" s="122">
        <f>((AN75*Database!AN$32)-(AL75*Database!AL$32))/Database!AM$32</f>
        <v>0.16000000000000003</v>
      </c>
      <c r="AN75" s="396">
        <v>0.16</v>
      </c>
      <c r="AO75" s="122">
        <v>0.16</v>
      </c>
      <c r="AP75" s="122">
        <f>((AQ75*Database!AQ$32)-(AO75*Database!AO$32))/Database!AP$32</f>
        <v>0.16000000000000006</v>
      </c>
      <c r="AQ75" s="396">
        <v>0.16</v>
      </c>
      <c r="AR75" s="122">
        <v>0.17</v>
      </c>
      <c r="AS75" s="122">
        <v>0.17</v>
      </c>
      <c r="AT75" s="396">
        <v>0.17</v>
      </c>
      <c r="AU75" s="122">
        <v>0.17</v>
      </c>
      <c r="AV75" s="122">
        <v>0.17</v>
      </c>
      <c r="AW75" s="396">
        <v>0.17</v>
      </c>
      <c r="AX75" s="122">
        <v>0.19</v>
      </c>
      <c r="AY75" s="122">
        <v>0.19</v>
      </c>
      <c r="AZ75" s="396">
        <v>0.19</v>
      </c>
    </row>
    <row r="76" spans="1:52" s="35" customFormat="1" ht="14.5" x14ac:dyDescent="0.35">
      <c r="A76" s="46"/>
      <c r="B76" s="394" t="s">
        <v>501</v>
      </c>
      <c r="C76" s="121"/>
      <c r="D76" s="121"/>
      <c r="E76" s="121"/>
      <c r="F76" s="121"/>
      <c r="G76" s="121"/>
      <c r="H76" s="121"/>
      <c r="I76" s="121"/>
      <c r="J76" s="121"/>
      <c r="K76" s="121"/>
      <c r="L76" s="121"/>
      <c r="M76" s="121"/>
      <c r="N76" s="121"/>
      <c r="O76" s="121"/>
      <c r="P76" s="121"/>
      <c r="Q76" s="121"/>
      <c r="R76" s="121"/>
      <c r="S76" s="121"/>
      <c r="T76" s="122">
        <v>0.05</v>
      </c>
      <c r="U76" s="122">
        <f>((V76*Database!V$32)-(T76*Database!T$32))/Database!U$32</f>
        <v>0.05</v>
      </c>
      <c r="V76" s="396">
        <v>0.05</v>
      </c>
      <c r="W76" s="122">
        <v>0.05</v>
      </c>
      <c r="X76" s="122">
        <f>((Y76*Database!Y$32)-(W76*Database!W$32))/Database!X$32</f>
        <v>5.000000000000001E-2</v>
      </c>
      <c r="Y76" s="396">
        <v>0.05</v>
      </c>
      <c r="Z76" s="122">
        <v>0.04</v>
      </c>
      <c r="AA76" s="122">
        <f>((AB76*Database!AB$32)-(Z76*Database!Z$32))/Database!AA$32</f>
        <v>5.951748108771214E-2</v>
      </c>
      <c r="AB76" s="396">
        <v>0.05</v>
      </c>
      <c r="AC76" s="122">
        <v>0.05</v>
      </c>
      <c r="AD76" s="122">
        <f>((AE76*Database!AE$32)-(AC76*Database!AC$32))/Database!AD$32</f>
        <v>0.05</v>
      </c>
      <c r="AE76" s="396">
        <v>0.05</v>
      </c>
      <c r="AF76" s="122">
        <v>0.04</v>
      </c>
      <c r="AG76" s="122">
        <f>((AH76*Database!AH$32)-(AF76*Database!AF$32))/Database!AG$32</f>
        <v>6.0112159515755749E-2</v>
      </c>
      <c r="AH76" s="396">
        <v>0.05</v>
      </c>
      <c r="AI76" s="122">
        <v>0.05</v>
      </c>
      <c r="AJ76" s="122">
        <f>((AK76*Database!AK$32)-(AI76*Database!AI$32))/Database!AJ$32</f>
        <v>0.05</v>
      </c>
      <c r="AK76" s="396">
        <v>0.05</v>
      </c>
      <c r="AL76" s="122">
        <v>0.06</v>
      </c>
      <c r="AM76" s="122">
        <f>((AN76*Database!AN$32)-(AL76*Database!AL$32))/Database!AM$32</f>
        <v>0.06</v>
      </c>
      <c r="AN76" s="396">
        <v>0.06</v>
      </c>
      <c r="AO76" s="122">
        <v>0.06</v>
      </c>
      <c r="AP76" s="122">
        <f>((AQ76*Database!AQ$32)-(AO76*Database!AO$32))/Database!AP$32</f>
        <v>4.0942156705656152E-2</v>
      </c>
      <c r="AQ76" s="396">
        <v>0.05</v>
      </c>
      <c r="AR76" s="122">
        <v>0.05</v>
      </c>
      <c r="AS76" s="122">
        <v>0.05</v>
      </c>
      <c r="AT76" s="396">
        <v>0.05</v>
      </c>
      <c r="AU76" s="122">
        <v>0.05</v>
      </c>
      <c r="AV76" s="122">
        <v>0.05</v>
      </c>
      <c r="AW76" s="396">
        <v>0.05</v>
      </c>
      <c r="AX76" s="122">
        <v>0.05</v>
      </c>
      <c r="AY76" s="122">
        <v>0.05</v>
      </c>
      <c r="AZ76" s="396">
        <v>0.05</v>
      </c>
    </row>
    <row r="77" spans="1:52" s="35" customFormat="1" ht="14.5" x14ac:dyDescent="0.35">
      <c r="A77" s="46"/>
      <c r="B77" s="394" t="s">
        <v>497</v>
      </c>
      <c r="C77" s="121"/>
      <c r="D77" s="121"/>
      <c r="E77" s="121"/>
      <c r="F77" s="121"/>
      <c r="G77" s="121"/>
      <c r="H77" s="121"/>
      <c r="I77" s="121"/>
      <c r="J77" s="121"/>
      <c r="K77" s="121"/>
      <c r="L77" s="121"/>
      <c r="M77" s="121"/>
      <c r="N77" s="121"/>
      <c r="O77" s="121"/>
      <c r="P77" s="121"/>
      <c r="Q77" s="121"/>
      <c r="R77" s="121"/>
      <c r="S77" s="121"/>
      <c r="T77" s="122">
        <v>7.0000000000000007E-2</v>
      </c>
      <c r="U77" s="122">
        <f>((V77*Database!V$32)-(T77*Database!T$32))/Database!U$32</f>
        <v>7.0000000000000007E-2</v>
      </c>
      <c r="V77" s="396">
        <v>7.0000000000000007E-2</v>
      </c>
      <c r="W77" s="122">
        <v>7.0000000000000007E-2</v>
      </c>
      <c r="X77" s="122">
        <f>((Y77*Database!Y$32)-(W77*Database!W$32))/Database!X$32</f>
        <v>7.0000000000000007E-2</v>
      </c>
      <c r="Y77" s="396">
        <v>7.0000000000000007E-2</v>
      </c>
      <c r="Z77" s="122">
        <v>0.06</v>
      </c>
      <c r="AA77" s="122">
        <f>((AB77*Database!AB$32)-(Z77*Database!Z$32))/Database!AA$32</f>
        <v>6.0000000000000005E-2</v>
      </c>
      <c r="AB77" s="396">
        <v>0.06</v>
      </c>
      <c r="AC77" s="122">
        <v>0.05</v>
      </c>
      <c r="AD77" s="122">
        <f>((AE77*Database!AE$32)-(AC77*Database!AC$32))/Database!AD$32</f>
        <v>0.05</v>
      </c>
      <c r="AE77" s="396">
        <v>0.05</v>
      </c>
      <c r="AF77" s="122">
        <v>0.05</v>
      </c>
      <c r="AG77" s="122">
        <f>((AH77*Database!AH$32)-(AF77*Database!AF$32))/Database!AG$32</f>
        <v>0.05</v>
      </c>
      <c r="AH77" s="396">
        <v>0.05</v>
      </c>
      <c r="AI77" s="122">
        <v>0.05</v>
      </c>
      <c r="AJ77" s="122">
        <f>((AK77*Database!AK$32)-(AI77*Database!AI$32))/Database!AJ$32</f>
        <v>0.05</v>
      </c>
      <c r="AK77" s="396">
        <v>0.05</v>
      </c>
      <c r="AL77" s="122">
        <v>0.05</v>
      </c>
      <c r="AM77" s="122">
        <f>((AN77*Database!AN$32)-(AL77*Database!AL$32))/Database!AM$32</f>
        <v>0.05</v>
      </c>
      <c r="AN77" s="396">
        <v>0.05</v>
      </c>
      <c r="AO77" s="122">
        <v>0.04</v>
      </c>
      <c r="AP77" s="122">
        <f>((AQ77*Database!AQ$32)-(AO77*Database!AO$32))/Database!AP$32</f>
        <v>4.0000000000000015E-2</v>
      </c>
      <c r="AQ77" s="396">
        <v>0.04</v>
      </c>
      <c r="AR77" s="122">
        <v>0.04</v>
      </c>
      <c r="AS77" s="122">
        <v>0.04</v>
      </c>
      <c r="AT77" s="396">
        <v>0.04</v>
      </c>
      <c r="AU77" s="122">
        <v>0.04</v>
      </c>
      <c r="AV77" s="122">
        <v>0.04</v>
      </c>
      <c r="AW77" s="396">
        <v>0.04</v>
      </c>
      <c r="AX77" s="122">
        <v>0.05</v>
      </c>
      <c r="AY77" s="122">
        <v>0.06</v>
      </c>
      <c r="AZ77" s="396">
        <v>0.06</v>
      </c>
    </row>
    <row r="78" spans="1:52" s="35" customFormat="1" ht="14.5" x14ac:dyDescent="0.35">
      <c r="A78" s="46"/>
      <c r="B78" s="394" t="s">
        <v>502</v>
      </c>
      <c r="C78" s="121"/>
      <c r="D78" s="121"/>
      <c r="E78" s="121"/>
      <c r="F78" s="121"/>
      <c r="G78" s="121"/>
      <c r="H78" s="121"/>
      <c r="I78" s="121"/>
      <c r="J78" s="121"/>
      <c r="K78" s="121"/>
      <c r="L78" s="121"/>
      <c r="M78" s="121"/>
      <c r="N78" s="121"/>
      <c r="O78" s="121"/>
      <c r="P78" s="121"/>
      <c r="Q78" s="121"/>
      <c r="R78" s="121"/>
      <c r="S78" s="121"/>
      <c r="T78" s="122">
        <v>0.02</v>
      </c>
      <c r="U78" s="122">
        <f>((V78*Database!V$32)-(T78*Database!T$32))/Database!U$32</f>
        <v>0.02</v>
      </c>
      <c r="V78" s="396">
        <v>0.02</v>
      </c>
      <c r="W78" s="122">
        <v>0.02</v>
      </c>
      <c r="X78" s="122">
        <f>((Y78*Database!Y$32)-(W78*Database!W$32))/Database!X$32</f>
        <v>3.9600870827285924E-2</v>
      </c>
      <c r="Y78" s="396">
        <v>0.03</v>
      </c>
      <c r="Z78" s="122">
        <v>0.03</v>
      </c>
      <c r="AA78" s="122">
        <f>((AB78*Database!AB$32)-(Z78*Database!Z$32))/Database!AA$32</f>
        <v>3.0000000000000002E-2</v>
      </c>
      <c r="AB78" s="396">
        <v>0.03</v>
      </c>
      <c r="AC78" s="122">
        <v>0.04</v>
      </c>
      <c r="AD78" s="122">
        <f>((AE78*Database!AE$32)-(AC78*Database!AC$32))/Database!AD$32</f>
        <v>0.04</v>
      </c>
      <c r="AE78" s="396">
        <v>0.04</v>
      </c>
      <c r="AF78" s="122">
        <v>0.04</v>
      </c>
      <c r="AG78" s="122">
        <f>((AH78*Database!AH$32)-(AF78*Database!AF$32))/Database!AG$32</f>
        <v>0.04</v>
      </c>
      <c r="AH78" s="396">
        <v>0.04</v>
      </c>
      <c r="AI78" s="122">
        <v>0.05</v>
      </c>
      <c r="AJ78" s="122">
        <f>((AK78*Database!AK$32)-(AI78*Database!AI$32))/Database!AJ$32</f>
        <v>0.05</v>
      </c>
      <c r="AK78" s="396">
        <v>0.05</v>
      </c>
      <c r="AL78" s="122">
        <v>0.05</v>
      </c>
      <c r="AM78" s="122">
        <f>((AN78*Database!AN$32)-(AL78*Database!AL$32))/Database!AM$32</f>
        <v>3.1463759337775093E-2</v>
      </c>
      <c r="AN78" s="396">
        <v>0.04</v>
      </c>
      <c r="AO78" s="122">
        <v>0.05</v>
      </c>
      <c r="AP78" s="122">
        <f>((AQ78*Database!AQ$32)-(AO78*Database!AO$32))/Database!AP$32</f>
        <v>5.000000000000001E-2</v>
      </c>
      <c r="AQ78" s="396">
        <v>0.05</v>
      </c>
      <c r="AR78" s="122">
        <v>0.05</v>
      </c>
      <c r="AS78" s="122">
        <v>0.05</v>
      </c>
      <c r="AT78" s="396">
        <v>0.05</v>
      </c>
      <c r="AU78" s="122">
        <v>0.04</v>
      </c>
      <c r="AV78" s="122">
        <v>0.04</v>
      </c>
      <c r="AW78" s="396">
        <v>0.04</v>
      </c>
      <c r="AX78" s="122">
        <v>0.05</v>
      </c>
      <c r="AY78" s="122">
        <v>0.05</v>
      </c>
      <c r="AZ78" s="396">
        <v>0.05</v>
      </c>
    </row>
    <row r="79" spans="1:52" s="35" customFormat="1" ht="14.5" x14ac:dyDescent="0.35">
      <c r="A79" s="46"/>
      <c r="B79" s="394" t="s">
        <v>503</v>
      </c>
      <c r="C79" s="121"/>
      <c r="D79" s="121"/>
      <c r="E79" s="121"/>
      <c r="F79" s="121"/>
      <c r="G79" s="121"/>
      <c r="H79" s="121"/>
      <c r="I79" s="121"/>
      <c r="J79" s="121"/>
      <c r="K79" s="121"/>
      <c r="L79" s="121"/>
      <c r="M79" s="121"/>
      <c r="N79" s="121"/>
      <c r="O79" s="121"/>
      <c r="P79" s="121"/>
      <c r="Q79" s="121"/>
      <c r="R79" s="121"/>
      <c r="S79" s="121"/>
      <c r="T79" s="122">
        <f t="shared" ref="T79:AO79" si="39">1-SUM(T73:T78)</f>
        <v>3.0000000000000027E-2</v>
      </c>
      <c r="U79" s="122">
        <f t="shared" si="39"/>
        <v>9.9053378911384549E-3</v>
      </c>
      <c r="V79" s="396">
        <f t="shared" si="39"/>
        <v>2.0000000000000018E-2</v>
      </c>
      <c r="W79" s="122">
        <f t="shared" si="39"/>
        <v>3.0000000000000027E-2</v>
      </c>
      <c r="X79" s="122">
        <f t="shared" si="39"/>
        <v>-9.2017416545717712E-3</v>
      </c>
      <c r="Y79" s="396">
        <f t="shared" si="39"/>
        <v>1.0000000000000009E-2</v>
      </c>
      <c r="Z79" s="122">
        <f t="shared" si="39"/>
        <v>3.0000000000000027E-2</v>
      </c>
      <c r="AA79" s="122">
        <f t="shared" si="39"/>
        <v>2.9999999999999694E-2</v>
      </c>
      <c r="AB79" s="396">
        <f t="shared" si="39"/>
        <v>3.0000000000000027E-2</v>
      </c>
      <c r="AC79" s="122">
        <f t="shared" si="39"/>
        <v>1.9999999999999907E-2</v>
      </c>
      <c r="AD79" s="122">
        <f t="shared" si="39"/>
        <v>2.0000000000000018E-2</v>
      </c>
      <c r="AE79" s="396">
        <f t="shared" si="39"/>
        <v>1.9999999999999907E-2</v>
      </c>
      <c r="AF79" s="122">
        <f t="shared" si="39"/>
        <v>3.9999999999999813E-2</v>
      </c>
      <c r="AG79" s="122">
        <f t="shared" si="39"/>
        <v>-2.2431903151143295E-4</v>
      </c>
      <c r="AH79" s="396">
        <f t="shared" si="39"/>
        <v>1.9999999999999907E-2</v>
      </c>
      <c r="AI79" s="122">
        <f t="shared" si="39"/>
        <v>1.9999999999999907E-2</v>
      </c>
      <c r="AJ79" s="122">
        <f t="shared" si="39"/>
        <v>4.2482509591514117E-2</v>
      </c>
      <c r="AK79" s="396">
        <f t="shared" si="39"/>
        <v>2.9999999999999916E-2</v>
      </c>
      <c r="AL79" s="122">
        <f t="shared" si="39"/>
        <v>9.9999999999997868E-3</v>
      </c>
      <c r="AM79" s="122">
        <f t="shared" si="39"/>
        <v>6.5608721986674778E-2</v>
      </c>
      <c r="AN79" s="396">
        <f t="shared" si="39"/>
        <v>3.9999999999999813E-2</v>
      </c>
      <c r="AO79" s="122">
        <f t="shared" si="39"/>
        <v>4.9999999999999822E-2</v>
      </c>
      <c r="AP79" s="122">
        <f t="shared" ref="AP79" si="40">1-SUM(AP73:AP78)</f>
        <v>8.8115686588687403E-2</v>
      </c>
      <c r="AQ79" s="396">
        <f t="shared" ref="AQ79" si="41">1-SUM(AQ73:AQ78)</f>
        <v>6.999999999999984E-2</v>
      </c>
      <c r="AR79" s="122">
        <f t="shared" ref="AR79" si="42">1-SUM(AR73:AR78)</f>
        <v>8.9999999999999858E-2</v>
      </c>
      <c r="AS79" s="122">
        <f t="shared" ref="AS79:AU79" si="43">1-SUM(AS73:AS78)</f>
        <v>8.9999999999999858E-2</v>
      </c>
      <c r="AT79" s="396">
        <f t="shared" si="43"/>
        <v>8.9999999999999858E-2</v>
      </c>
      <c r="AU79" s="122">
        <f t="shared" si="43"/>
        <v>9.9999999999999756E-2</v>
      </c>
      <c r="AV79" s="122">
        <f t="shared" ref="AV79:AY79" si="44">1-SUM(AV73:AV78)</f>
        <v>9.9999999999999756E-2</v>
      </c>
      <c r="AW79" s="396">
        <f t="shared" si="44"/>
        <v>9.9999999999999756E-2</v>
      </c>
      <c r="AX79" s="122">
        <f t="shared" si="44"/>
        <v>7.9999999999999849E-2</v>
      </c>
      <c r="AY79" s="122">
        <f t="shared" si="44"/>
        <v>6.999999999999984E-2</v>
      </c>
      <c r="AZ79" s="396">
        <f t="shared" ref="AZ79" si="45">1-SUM(AZ73:AZ78)</f>
        <v>6.999999999999984E-2</v>
      </c>
    </row>
    <row r="80" spans="1:52" s="87" customFormat="1" ht="14.5" thickBot="1" x14ac:dyDescent="0.35">
      <c r="A80" s="35"/>
      <c r="B80" s="82" t="s">
        <v>717</v>
      </c>
      <c r="C80" s="83"/>
      <c r="D80" s="83"/>
      <c r="E80" s="83"/>
      <c r="F80" s="83"/>
      <c r="G80" s="83"/>
      <c r="H80" s="83"/>
      <c r="I80" s="83"/>
      <c r="J80" s="83"/>
      <c r="K80" s="83"/>
      <c r="L80" s="83"/>
      <c r="M80" s="83"/>
      <c r="N80" s="83"/>
      <c r="O80" s="83"/>
      <c r="P80" s="83"/>
      <c r="Q80" s="83"/>
      <c r="R80" s="83"/>
      <c r="S80" s="83"/>
      <c r="T80" s="84">
        <f>SUM(T73:T79)</f>
        <v>1</v>
      </c>
      <c r="U80" s="84">
        <f t="shared" ref="U80:AO80" si="46">SUM(U73:U79)</f>
        <v>1</v>
      </c>
      <c r="V80" s="395">
        <f t="shared" si="46"/>
        <v>1</v>
      </c>
      <c r="W80" s="84">
        <f t="shared" si="46"/>
        <v>1</v>
      </c>
      <c r="X80" s="84">
        <f t="shared" si="46"/>
        <v>1</v>
      </c>
      <c r="Y80" s="395">
        <f t="shared" si="46"/>
        <v>1</v>
      </c>
      <c r="Z80" s="84">
        <f t="shared" si="46"/>
        <v>1</v>
      </c>
      <c r="AA80" s="84">
        <f t="shared" si="46"/>
        <v>1</v>
      </c>
      <c r="AB80" s="395">
        <f t="shared" si="46"/>
        <v>1</v>
      </c>
      <c r="AC80" s="84">
        <f t="shared" si="46"/>
        <v>1</v>
      </c>
      <c r="AD80" s="84">
        <f t="shared" si="46"/>
        <v>1</v>
      </c>
      <c r="AE80" s="395">
        <f t="shared" si="46"/>
        <v>1</v>
      </c>
      <c r="AF80" s="84">
        <f t="shared" si="46"/>
        <v>1</v>
      </c>
      <c r="AG80" s="84">
        <f t="shared" si="46"/>
        <v>1</v>
      </c>
      <c r="AH80" s="395">
        <f t="shared" si="46"/>
        <v>1</v>
      </c>
      <c r="AI80" s="84">
        <f t="shared" si="46"/>
        <v>1</v>
      </c>
      <c r="AJ80" s="84">
        <f t="shared" si="46"/>
        <v>1</v>
      </c>
      <c r="AK80" s="395">
        <f t="shared" si="46"/>
        <v>1</v>
      </c>
      <c r="AL80" s="84">
        <f t="shared" si="46"/>
        <v>1</v>
      </c>
      <c r="AM80" s="84">
        <f t="shared" si="46"/>
        <v>1</v>
      </c>
      <c r="AN80" s="395">
        <f t="shared" si="46"/>
        <v>1</v>
      </c>
      <c r="AO80" s="84">
        <f t="shared" si="46"/>
        <v>1</v>
      </c>
      <c r="AP80" s="84">
        <f t="shared" ref="AP80" si="47">SUM(AP73:AP79)</f>
        <v>1</v>
      </c>
      <c r="AQ80" s="395">
        <f t="shared" ref="AQ80:AR80" si="48">SUM(AQ73:AQ79)</f>
        <v>1</v>
      </c>
      <c r="AR80" s="84">
        <f t="shared" si="48"/>
        <v>1</v>
      </c>
      <c r="AS80" s="84">
        <f t="shared" ref="AS80:AU80" si="49">SUM(AS73:AS79)</f>
        <v>1</v>
      </c>
      <c r="AT80" s="395">
        <f t="shared" si="49"/>
        <v>1</v>
      </c>
      <c r="AU80" s="84">
        <f t="shared" si="49"/>
        <v>1</v>
      </c>
      <c r="AV80" s="84">
        <f t="shared" ref="AV80:AY80" si="50">SUM(AV73:AV79)</f>
        <v>1</v>
      </c>
      <c r="AW80" s="395">
        <f t="shared" si="50"/>
        <v>1</v>
      </c>
      <c r="AX80" s="84">
        <f t="shared" si="50"/>
        <v>1</v>
      </c>
      <c r="AY80" s="84">
        <f t="shared" si="50"/>
        <v>1</v>
      </c>
      <c r="AZ80" s="395">
        <f t="shared" ref="AZ80" si="51">SUM(AZ73:AZ79)</f>
        <v>1</v>
      </c>
    </row>
    <row r="81" spans="1:52" ht="14.5" thickTop="1" x14ac:dyDescent="0.3">
      <c r="A81" s="46"/>
      <c r="T81" s="288"/>
      <c r="U81" s="288"/>
      <c r="V81" s="479"/>
      <c r="W81" s="288"/>
      <c r="Y81" s="479"/>
      <c r="AB81" s="479"/>
      <c r="AE81" s="479"/>
      <c r="AG81" s="288"/>
      <c r="AH81" s="479"/>
      <c r="AK81" s="479"/>
      <c r="AN81" s="479"/>
      <c r="AQ81" s="479"/>
      <c r="AT81" s="479"/>
      <c r="AV81" s="288"/>
      <c r="AW81" s="479"/>
      <c r="AX81" s="288"/>
      <c r="AY81" s="288"/>
      <c r="AZ81" s="479"/>
    </row>
    <row r="82" spans="1:52" s="138" customFormat="1" ht="13" x14ac:dyDescent="0.3">
      <c r="A82" s="25"/>
      <c r="B82" s="465" t="s">
        <v>718</v>
      </c>
      <c r="C82" s="466"/>
      <c r="D82" s="466"/>
      <c r="E82" s="466"/>
      <c r="F82" s="466"/>
      <c r="G82" s="466"/>
      <c r="H82" s="466"/>
      <c r="I82" s="466"/>
      <c r="J82" s="466"/>
      <c r="K82" s="466"/>
      <c r="L82" s="466"/>
      <c r="M82" s="466"/>
      <c r="N82" s="466"/>
      <c r="O82" s="466"/>
      <c r="P82" s="466"/>
      <c r="Q82" s="466"/>
      <c r="R82" s="466"/>
      <c r="S82" s="466"/>
      <c r="T82" s="466"/>
      <c r="U82" s="466"/>
      <c r="V82" s="466"/>
      <c r="W82" s="466"/>
      <c r="X82" s="466"/>
      <c r="Y82" s="466"/>
      <c r="Z82" s="466"/>
      <c r="AA82" s="466"/>
      <c r="AB82" s="467"/>
      <c r="AC82" s="466"/>
      <c r="AD82" s="466"/>
      <c r="AE82" s="467"/>
      <c r="AF82" s="466"/>
      <c r="AG82" s="466"/>
      <c r="AH82" s="467"/>
      <c r="AI82" s="466"/>
      <c r="AJ82" s="466"/>
      <c r="AK82" s="467"/>
      <c r="AL82" s="466"/>
      <c r="AM82" s="466"/>
      <c r="AN82" s="467"/>
      <c r="AO82" s="466"/>
      <c r="AP82" s="467"/>
      <c r="AQ82" s="467"/>
      <c r="AR82" s="466"/>
      <c r="AS82" s="466"/>
      <c r="AT82" s="467"/>
      <c r="AU82" s="466"/>
      <c r="AV82" s="466"/>
      <c r="AW82" s="467"/>
      <c r="AX82" s="466"/>
      <c r="AY82" s="466"/>
      <c r="AZ82" s="467"/>
    </row>
    <row r="83" spans="1:52" s="35" customFormat="1" ht="14.5" x14ac:dyDescent="0.35">
      <c r="A83" s="46"/>
      <c r="B83" s="394" t="s">
        <v>497</v>
      </c>
      <c r="C83" s="121"/>
      <c r="D83" s="121"/>
      <c r="E83" s="121"/>
      <c r="F83" s="121"/>
      <c r="G83" s="121"/>
      <c r="H83" s="121"/>
      <c r="I83" s="121"/>
      <c r="J83" s="121"/>
      <c r="K83" s="121"/>
      <c r="L83" s="121"/>
      <c r="M83" s="121"/>
      <c r="N83" s="121"/>
      <c r="O83" s="121"/>
      <c r="P83" s="121"/>
      <c r="Q83" s="121"/>
      <c r="R83" s="121"/>
      <c r="S83" s="121"/>
      <c r="T83" s="122">
        <v>0.19</v>
      </c>
      <c r="U83" s="122">
        <f>((V83*Database!V$32)-(T83*Database!T$32))/Database!U$32</f>
        <v>0.19</v>
      </c>
      <c r="V83" s="396">
        <v>0.19</v>
      </c>
      <c r="W83" s="122">
        <v>0.2</v>
      </c>
      <c r="X83" s="122">
        <f>((Y83*Database!Y$32)-(W83*Database!W$32))/Database!X$32</f>
        <v>0.18039912917271408</v>
      </c>
      <c r="Y83" s="396">
        <v>0.19</v>
      </c>
      <c r="Z83" s="122">
        <v>0.2</v>
      </c>
      <c r="AA83" s="122">
        <f>((AB83*Database!AB$32)-(Z83*Database!Z$32))/Database!AA$32</f>
        <v>0.20000000000000007</v>
      </c>
      <c r="AB83" s="396">
        <v>0.2</v>
      </c>
      <c r="AC83" s="122">
        <v>0.2</v>
      </c>
      <c r="AD83" s="122">
        <f>((AE83*Database!AE$32)-(AC83*Database!AC$32))/Database!AD$32</f>
        <v>0.2</v>
      </c>
      <c r="AE83" s="396">
        <v>0.2</v>
      </c>
      <c r="AF83" s="122">
        <v>0.2</v>
      </c>
      <c r="AG83" s="122">
        <f>((AH83*Database!AH$32)-(AF83*Database!AF$32))/Database!AG$32</f>
        <v>0.2</v>
      </c>
      <c r="AH83" s="396">
        <v>0.2</v>
      </c>
      <c r="AI83" s="122">
        <v>0.19</v>
      </c>
      <c r="AJ83" s="122">
        <f>((AK83*Database!AK$32)-(AI83*Database!AI$32))/Database!AJ$32</f>
        <v>0.16751749040848568</v>
      </c>
      <c r="AK83" s="396">
        <v>0.18</v>
      </c>
      <c r="AL83" s="122">
        <v>0.19</v>
      </c>
      <c r="AM83" s="122">
        <f>((AN83*Database!AN$32)-(AL83*Database!AL$32))/Database!AM$32</f>
        <v>0.18999999999999997</v>
      </c>
      <c r="AN83" s="396">
        <v>0.19</v>
      </c>
      <c r="AO83" s="122">
        <v>0.17</v>
      </c>
      <c r="AP83" s="122">
        <f>((AQ83*Database!AQ$32)-(AO83*Database!AO$32))/Database!AP$32</f>
        <v>0.15094215670565619</v>
      </c>
      <c r="AQ83" s="396">
        <v>0.16</v>
      </c>
      <c r="AR83" s="122">
        <v>0.16</v>
      </c>
      <c r="AS83" s="122">
        <v>0.16</v>
      </c>
      <c r="AT83" s="396">
        <v>0.16</v>
      </c>
      <c r="AU83" s="122">
        <v>0.16</v>
      </c>
      <c r="AV83" s="122">
        <v>0.16</v>
      </c>
      <c r="AW83" s="396">
        <v>0.16</v>
      </c>
      <c r="AX83" s="122">
        <v>0.18</v>
      </c>
      <c r="AY83" s="122">
        <v>0.18</v>
      </c>
      <c r="AZ83" s="396">
        <v>0.18</v>
      </c>
    </row>
    <row r="84" spans="1:52" s="35" customFormat="1" ht="14.5" x14ac:dyDescent="0.35">
      <c r="A84" s="46"/>
      <c r="B84" s="394" t="s">
        <v>496</v>
      </c>
      <c r="C84" s="121"/>
      <c r="D84" s="121"/>
      <c r="E84" s="121"/>
      <c r="F84" s="121"/>
      <c r="G84" s="121"/>
      <c r="H84" s="121"/>
      <c r="I84" s="121"/>
      <c r="J84" s="121"/>
      <c r="K84" s="121"/>
      <c r="L84" s="121"/>
      <c r="M84" s="121"/>
      <c r="N84" s="121"/>
      <c r="O84" s="121"/>
      <c r="P84" s="121"/>
      <c r="Q84" s="121"/>
      <c r="R84" s="121"/>
      <c r="S84" s="121"/>
      <c r="T84" s="122">
        <v>0.21</v>
      </c>
      <c r="U84" s="122">
        <f>((V84*Database!V$32)-(T84*Database!T$32))/Database!U$32</f>
        <v>0.21000000000000002</v>
      </c>
      <c r="V84" s="396">
        <v>0.21</v>
      </c>
      <c r="W84" s="122">
        <v>0.2</v>
      </c>
      <c r="X84" s="122">
        <f>((Y84*Database!Y$32)-(W84*Database!W$32))/Database!X$32</f>
        <v>0.21960087082728591</v>
      </c>
      <c r="Y84" s="396">
        <v>0.21</v>
      </c>
      <c r="Z84" s="122">
        <v>0.21</v>
      </c>
      <c r="AA84" s="122">
        <f>((AB84*Database!AB$32)-(Z84*Database!Z$32))/Database!AA$32</f>
        <v>0.22951748108771219</v>
      </c>
      <c r="AB84" s="396">
        <v>0.22</v>
      </c>
      <c r="AC84" s="122">
        <v>0.22</v>
      </c>
      <c r="AD84" s="122">
        <f>((AE84*Database!AE$32)-(AC84*Database!AC$32))/Database!AD$32</f>
        <v>0.22</v>
      </c>
      <c r="AE84" s="396">
        <v>0.22</v>
      </c>
      <c r="AF84" s="122">
        <v>0.22</v>
      </c>
      <c r="AG84" s="122">
        <f>((AH84*Database!AH$32)-(AF84*Database!AF$32))/Database!AG$32</f>
        <v>0.22000000000000003</v>
      </c>
      <c r="AH84" s="396">
        <v>0.22</v>
      </c>
      <c r="AI84" s="122">
        <v>0.21</v>
      </c>
      <c r="AJ84" s="122">
        <f>((AK84*Database!AK$32)-(AI84*Database!AI$32))/Database!AJ$32</f>
        <v>0.21</v>
      </c>
      <c r="AK84" s="396">
        <v>0.21</v>
      </c>
      <c r="AL84" s="122">
        <v>0.18</v>
      </c>
      <c r="AM84" s="122">
        <f>((AN84*Database!AN$32)-(AL84*Database!AL$32))/Database!AM$32</f>
        <v>0.18000000000000002</v>
      </c>
      <c r="AN84" s="396">
        <v>0.18</v>
      </c>
      <c r="AO84" s="122">
        <v>0.19</v>
      </c>
      <c r="AP84" s="122">
        <f>((AQ84*Database!AQ$32)-(AO84*Database!AO$32))/Database!AP$32</f>
        <v>0.19000000000000003</v>
      </c>
      <c r="AQ84" s="396">
        <v>0.19</v>
      </c>
      <c r="AR84" s="122">
        <v>0.19</v>
      </c>
      <c r="AS84" s="122">
        <v>0.19</v>
      </c>
      <c r="AT84" s="396">
        <v>0.19</v>
      </c>
      <c r="AU84" s="122">
        <v>0.2</v>
      </c>
      <c r="AV84" s="122">
        <v>0.2</v>
      </c>
      <c r="AW84" s="396">
        <v>0.2</v>
      </c>
      <c r="AX84" s="122">
        <v>0.2</v>
      </c>
      <c r="AY84" s="122">
        <v>0.19</v>
      </c>
      <c r="AZ84" s="396">
        <v>0.19</v>
      </c>
    </row>
    <row r="85" spans="1:52" s="35" customFormat="1" ht="14.5" x14ac:dyDescent="0.35">
      <c r="A85" s="46"/>
      <c r="B85" s="394" t="s">
        <v>704</v>
      </c>
      <c r="C85" s="121"/>
      <c r="D85" s="121"/>
      <c r="E85" s="121"/>
      <c r="F85" s="121"/>
      <c r="G85" s="121"/>
      <c r="H85" s="121"/>
      <c r="I85" s="121"/>
      <c r="J85" s="121"/>
      <c r="K85" s="121"/>
      <c r="L85" s="121"/>
      <c r="M85" s="121"/>
      <c r="N85" s="121"/>
      <c r="O85" s="121"/>
      <c r="P85" s="121"/>
      <c r="Q85" s="121"/>
      <c r="R85" s="121"/>
      <c r="S85" s="121"/>
      <c r="T85" s="122">
        <v>0.09</v>
      </c>
      <c r="U85" s="122">
        <f>((V85*Database!V$32)-(T85*Database!T$32))/Database!U$32</f>
        <v>9.0000000000000024E-2</v>
      </c>
      <c r="V85" s="396">
        <v>0.09</v>
      </c>
      <c r="W85" s="122">
        <v>0.09</v>
      </c>
      <c r="X85" s="122">
        <f>((Y85*Database!Y$32)-(W85*Database!W$32))/Database!X$32</f>
        <v>0.09</v>
      </c>
      <c r="Y85" s="396">
        <v>0.09</v>
      </c>
      <c r="Z85" s="122">
        <v>0.09</v>
      </c>
      <c r="AA85" s="122">
        <f>((AB85*Database!AB$32)-(Z85*Database!Z$32))/Database!AA$32</f>
        <v>9.0000000000000038E-2</v>
      </c>
      <c r="AB85" s="396">
        <v>0.09</v>
      </c>
      <c r="AC85" s="122">
        <v>0.09</v>
      </c>
      <c r="AD85" s="122">
        <f>((AE85*Database!AE$32)-(AC85*Database!AC$32))/Database!AD$32</f>
        <v>7.0387568555758687E-2</v>
      </c>
      <c r="AE85" s="396">
        <v>0.08</v>
      </c>
      <c r="AF85" s="122">
        <v>0.09</v>
      </c>
      <c r="AG85" s="122">
        <f>((AH85*Database!AH$32)-(AF85*Database!AF$32))/Database!AG$32</f>
        <v>0.11011215951575576</v>
      </c>
      <c r="AH85" s="396">
        <v>0.1</v>
      </c>
      <c r="AI85" s="122">
        <v>0.09</v>
      </c>
      <c r="AJ85" s="122">
        <f>((AK85*Database!AK$32)-(AI85*Database!AI$32))/Database!AJ$32</f>
        <v>0.15744752877454296</v>
      </c>
      <c r="AK85" s="396">
        <v>0.12</v>
      </c>
      <c r="AL85" s="122">
        <v>0.14000000000000001</v>
      </c>
      <c r="AM85" s="122">
        <f>((AN85*Database!AN$32)-(AL85*Database!AL$32))/Database!AM$32</f>
        <v>0.15853624066222491</v>
      </c>
      <c r="AN85" s="396">
        <v>0.15</v>
      </c>
      <c r="AO85" s="122">
        <v>0.17</v>
      </c>
      <c r="AP85" s="122">
        <f>((AQ85*Database!AQ$32)-(AO85*Database!AO$32))/Database!AP$32</f>
        <v>0.17000000000000004</v>
      </c>
      <c r="AQ85" s="396">
        <v>0.17</v>
      </c>
      <c r="AR85" s="122">
        <v>0.18</v>
      </c>
      <c r="AS85" s="122">
        <v>0.18</v>
      </c>
      <c r="AT85" s="396">
        <v>0.18</v>
      </c>
      <c r="AU85" s="122">
        <v>0.16</v>
      </c>
      <c r="AV85" s="122">
        <v>0.16</v>
      </c>
      <c r="AW85" s="396">
        <v>0.16</v>
      </c>
      <c r="AX85" s="122">
        <v>0.14000000000000001</v>
      </c>
      <c r="AY85" s="122">
        <v>0.14000000000000001</v>
      </c>
      <c r="AZ85" s="396">
        <v>0.14000000000000001</v>
      </c>
    </row>
    <row r="86" spans="1:52" s="35" customFormat="1" ht="14.5" x14ac:dyDescent="0.35">
      <c r="A86" s="46"/>
      <c r="B86" s="394" t="s">
        <v>499</v>
      </c>
      <c r="C86" s="121"/>
      <c r="D86" s="121"/>
      <c r="E86" s="121"/>
      <c r="F86" s="121"/>
      <c r="G86" s="121"/>
      <c r="H86" s="121"/>
      <c r="I86" s="121"/>
      <c r="J86" s="121"/>
      <c r="K86" s="121"/>
      <c r="L86" s="121"/>
      <c r="M86" s="121"/>
      <c r="N86" s="121"/>
      <c r="O86" s="121"/>
      <c r="P86" s="121"/>
      <c r="Q86" s="121"/>
      <c r="R86" s="121"/>
      <c r="S86" s="121"/>
      <c r="T86" s="122">
        <v>0.1</v>
      </c>
      <c r="U86" s="122">
        <f>((V86*Database!V$32)-(T86*Database!T$32))/Database!U$32</f>
        <v>0.1</v>
      </c>
      <c r="V86" s="396">
        <v>0.1</v>
      </c>
      <c r="W86" s="122">
        <v>0.11</v>
      </c>
      <c r="X86" s="122">
        <f>((Y86*Database!Y$32)-(W86*Database!W$32))/Database!X$32</f>
        <v>0.11</v>
      </c>
      <c r="Y86" s="396">
        <v>0.11</v>
      </c>
      <c r="Z86" s="122">
        <v>0.11</v>
      </c>
      <c r="AA86" s="122">
        <f>((AB86*Database!AB$32)-(Z86*Database!Z$32))/Database!AA$32</f>
        <v>0.11000000000000003</v>
      </c>
      <c r="AB86" s="396">
        <v>0.11</v>
      </c>
      <c r="AC86" s="122">
        <v>0.12</v>
      </c>
      <c r="AD86" s="122">
        <f>((AE86*Database!AE$32)-(AC86*Database!AC$32))/Database!AD$32</f>
        <v>0.12</v>
      </c>
      <c r="AE86" s="396">
        <v>0.12</v>
      </c>
      <c r="AF86" s="122">
        <v>0.12</v>
      </c>
      <c r="AG86" s="122">
        <f>((AH86*Database!AH$32)-(AF86*Database!AF$32))/Database!AG$32</f>
        <v>0.11999999999999998</v>
      </c>
      <c r="AH86" s="396">
        <v>0.12</v>
      </c>
      <c r="AI86" s="122">
        <v>0.12</v>
      </c>
      <c r="AJ86" s="122">
        <f>((AK86*Database!AK$32)-(AI86*Database!AI$32))/Database!AJ$32</f>
        <v>9.7517490408485688E-2</v>
      </c>
      <c r="AK86" s="396">
        <v>0.11</v>
      </c>
      <c r="AL86" s="122">
        <v>0.09</v>
      </c>
      <c r="AM86" s="122">
        <f>((AN86*Database!AN$32)-(AL86*Database!AL$32))/Database!AM$32</f>
        <v>0.10853624066222492</v>
      </c>
      <c r="AN86" s="396">
        <v>0.1</v>
      </c>
      <c r="AO86" s="122">
        <v>0.11</v>
      </c>
      <c r="AP86" s="122">
        <f>((AQ86*Database!AQ$32)-(AO86*Database!AO$32))/Database!AP$32</f>
        <v>0.11000000000000001</v>
      </c>
      <c r="AQ86" s="396">
        <v>0.11</v>
      </c>
      <c r="AR86" s="122">
        <v>0.1</v>
      </c>
      <c r="AS86" s="122">
        <v>0.1</v>
      </c>
      <c r="AT86" s="396">
        <v>0.1</v>
      </c>
      <c r="AU86" s="122">
        <v>0.09</v>
      </c>
      <c r="AV86" s="122">
        <v>0.09</v>
      </c>
      <c r="AW86" s="396">
        <v>0.09</v>
      </c>
      <c r="AX86" s="122">
        <v>0.09</v>
      </c>
      <c r="AY86" s="122">
        <v>0.08</v>
      </c>
      <c r="AZ86" s="396">
        <v>0.08</v>
      </c>
    </row>
    <row r="87" spans="1:52" s="35" customFormat="1" ht="14.5" x14ac:dyDescent="0.35">
      <c r="A87" s="46"/>
      <c r="B87" s="394" t="s">
        <v>677</v>
      </c>
      <c r="C87" s="121"/>
      <c r="D87" s="121"/>
      <c r="E87" s="121"/>
      <c r="F87" s="121"/>
      <c r="G87" s="121"/>
      <c r="H87" s="121"/>
      <c r="I87" s="121"/>
      <c r="J87" s="121"/>
      <c r="K87" s="121"/>
      <c r="L87" s="121"/>
      <c r="M87" s="121"/>
      <c r="N87" s="121"/>
      <c r="O87" s="121"/>
      <c r="P87" s="121"/>
      <c r="Q87" s="121"/>
      <c r="R87" s="121"/>
      <c r="S87" s="121"/>
      <c r="T87" s="122">
        <v>0.1</v>
      </c>
      <c r="U87" s="122">
        <f>((V87*Database!V$32)-(T87*Database!T$32))/Database!U$32</f>
        <v>0.1</v>
      </c>
      <c r="V87" s="396">
        <v>0.1</v>
      </c>
      <c r="W87" s="122">
        <v>0.1</v>
      </c>
      <c r="X87" s="122">
        <f>((Y87*Database!Y$32)-(W87*Database!W$32))/Database!X$32</f>
        <v>0.10000000000000002</v>
      </c>
      <c r="Y87" s="396">
        <v>0.1</v>
      </c>
      <c r="Z87" s="122">
        <v>0.1</v>
      </c>
      <c r="AA87" s="122">
        <f>((AB87*Database!AB$32)-(Z87*Database!Z$32))/Database!AA$32</f>
        <v>0.10000000000000003</v>
      </c>
      <c r="AB87" s="396">
        <v>0.1</v>
      </c>
      <c r="AC87" s="122">
        <v>0.09</v>
      </c>
      <c r="AD87" s="122">
        <f>((AE87*Database!AE$32)-(AC87*Database!AC$32))/Database!AD$32</f>
        <v>7.0387568555758687E-2</v>
      </c>
      <c r="AE87" s="396">
        <v>0.08</v>
      </c>
      <c r="AF87" s="122">
        <v>7.0000000000000007E-2</v>
      </c>
      <c r="AG87" s="122">
        <f>((AH87*Database!AH$32)-(AF87*Database!AF$32))/Database!AG$32</f>
        <v>6.9999999999999993E-2</v>
      </c>
      <c r="AH87" s="396">
        <v>7.0000000000000007E-2</v>
      </c>
      <c r="AI87" s="122">
        <v>7.0000000000000007E-2</v>
      </c>
      <c r="AJ87" s="122">
        <f>((AK87*Database!AK$32)-(AI87*Database!AI$32))/Database!AJ$32</f>
        <v>7.0000000000000007E-2</v>
      </c>
      <c r="AK87" s="396">
        <v>7.0000000000000007E-2</v>
      </c>
      <c r="AL87" s="122">
        <v>0.08</v>
      </c>
      <c r="AM87" s="122">
        <f>((AN87*Database!AN$32)-(AL87*Database!AL$32))/Database!AM$32</f>
        <v>6.1463759337775106E-2</v>
      </c>
      <c r="AN87" s="396">
        <v>7.0000000000000007E-2</v>
      </c>
      <c r="AO87" s="122">
        <v>7.0000000000000007E-2</v>
      </c>
      <c r="AP87" s="122">
        <f>((AQ87*Database!AQ$32)-(AO87*Database!AO$32))/Database!AP$32</f>
        <v>-6.231373177375414E-3</v>
      </c>
      <c r="AQ87" s="396">
        <v>0.03</v>
      </c>
      <c r="AR87" s="122">
        <v>7.0000000000000007E-2</v>
      </c>
      <c r="AS87" s="122">
        <v>7.0000000000000007E-2</v>
      </c>
      <c r="AT87" s="396">
        <v>7.0000000000000007E-2</v>
      </c>
      <c r="AU87" s="122">
        <v>0.08</v>
      </c>
      <c r="AV87" s="122">
        <v>0.08</v>
      </c>
      <c r="AW87" s="396">
        <v>0.08</v>
      </c>
      <c r="AX87" s="122">
        <v>0.08</v>
      </c>
      <c r="AY87" s="122">
        <v>0.08</v>
      </c>
      <c r="AZ87" s="396">
        <v>0.08</v>
      </c>
    </row>
    <row r="88" spans="1:52" s="35" customFormat="1" ht="14.5" x14ac:dyDescent="0.35">
      <c r="A88" s="46"/>
      <c r="B88" s="394" t="s">
        <v>503</v>
      </c>
      <c r="C88" s="121"/>
      <c r="D88" s="121"/>
      <c r="E88" s="121"/>
      <c r="F88" s="121"/>
      <c r="G88" s="121"/>
      <c r="H88" s="121"/>
      <c r="I88" s="121"/>
      <c r="J88" s="121"/>
      <c r="K88" s="121"/>
      <c r="L88" s="121"/>
      <c r="M88" s="121"/>
      <c r="N88" s="121"/>
      <c r="O88" s="121"/>
      <c r="P88" s="121"/>
      <c r="Q88" s="121"/>
      <c r="R88" s="121"/>
      <c r="S88" s="121"/>
      <c r="T88" s="122">
        <f t="shared" ref="T88:AU88" si="52">1-SUM(T83:T87)</f>
        <v>0.31000000000000005</v>
      </c>
      <c r="U88" s="122">
        <f t="shared" si="52"/>
        <v>0.30999999999999994</v>
      </c>
      <c r="V88" s="396">
        <f t="shared" si="52"/>
        <v>0.31000000000000005</v>
      </c>
      <c r="W88" s="122">
        <f t="shared" si="52"/>
        <v>0.30000000000000004</v>
      </c>
      <c r="X88" s="122">
        <f t="shared" si="52"/>
        <v>0.30000000000000004</v>
      </c>
      <c r="Y88" s="396">
        <f t="shared" si="52"/>
        <v>0.30000000000000004</v>
      </c>
      <c r="Z88" s="122">
        <f t="shared" si="52"/>
        <v>0.29000000000000004</v>
      </c>
      <c r="AA88" s="122">
        <f t="shared" si="52"/>
        <v>0.27048251891228769</v>
      </c>
      <c r="AB88" s="396">
        <f t="shared" si="52"/>
        <v>0.28000000000000003</v>
      </c>
      <c r="AC88" s="122">
        <f t="shared" si="52"/>
        <v>0.28000000000000003</v>
      </c>
      <c r="AD88" s="122">
        <f t="shared" si="52"/>
        <v>0.31922486288848262</v>
      </c>
      <c r="AE88" s="396">
        <f t="shared" si="52"/>
        <v>0.30000000000000004</v>
      </c>
      <c r="AF88" s="122">
        <f t="shared" si="52"/>
        <v>0.30000000000000004</v>
      </c>
      <c r="AG88" s="122">
        <f t="shared" si="52"/>
        <v>0.2798878404842442</v>
      </c>
      <c r="AH88" s="396">
        <f t="shared" si="52"/>
        <v>0.29000000000000004</v>
      </c>
      <c r="AI88" s="122">
        <f t="shared" si="52"/>
        <v>0.32000000000000006</v>
      </c>
      <c r="AJ88" s="122">
        <f t="shared" si="52"/>
        <v>0.29751749040848563</v>
      </c>
      <c r="AK88" s="396">
        <f t="shared" si="52"/>
        <v>0.31000000000000005</v>
      </c>
      <c r="AL88" s="122">
        <f t="shared" si="52"/>
        <v>0.32000000000000006</v>
      </c>
      <c r="AM88" s="122">
        <f t="shared" si="52"/>
        <v>0.30146375933777503</v>
      </c>
      <c r="AN88" s="396">
        <f t="shared" si="52"/>
        <v>0.31000000000000005</v>
      </c>
      <c r="AO88" s="122">
        <f t="shared" si="52"/>
        <v>0.29000000000000004</v>
      </c>
      <c r="AP88" s="122">
        <f t="shared" si="52"/>
        <v>0.38528921647171921</v>
      </c>
      <c r="AQ88" s="396">
        <f t="shared" si="52"/>
        <v>0.33999999999999997</v>
      </c>
      <c r="AR88" s="122">
        <f t="shared" si="52"/>
        <v>0.30000000000000004</v>
      </c>
      <c r="AS88" s="122">
        <f t="shared" si="52"/>
        <v>0.30000000000000004</v>
      </c>
      <c r="AT88" s="396">
        <f t="shared" si="52"/>
        <v>0.30000000000000004</v>
      </c>
      <c r="AU88" s="122">
        <f t="shared" si="52"/>
        <v>0.31000000000000005</v>
      </c>
      <c r="AV88" s="122">
        <f t="shared" ref="AV88:AY88" si="53">1-SUM(AV83:AV87)</f>
        <v>0.31000000000000005</v>
      </c>
      <c r="AW88" s="396">
        <f t="shared" si="53"/>
        <v>0.31000000000000005</v>
      </c>
      <c r="AX88" s="122">
        <f t="shared" si="53"/>
        <v>0.31000000000000005</v>
      </c>
      <c r="AY88" s="122">
        <f t="shared" si="53"/>
        <v>0.33000000000000007</v>
      </c>
      <c r="AZ88" s="396">
        <f t="shared" ref="AZ88" si="54">1-SUM(AZ83:AZ87)</f>
        <v>0.33000000000000007</v>
      </c>
    </row>
    <row r="89" spans="1:52" s="87" customFormat="1" ht="14.5" thickBot="1" x14ac:dyDescent="0.35">
      <c r="A89" s="35"/>
      <c r="B89" s="82" t="s">
        <v>719</v>
      </c>
      <c r="C89" s="83"/>
      <c r="D89" s="83"/>
      <c r="E89" s="83"/>
      <c r="F89" s="83"/>
      <c r="G89" s="83"/>
      <c r="H89" s="83"/>
      <c r="I89" s="83"/>
      <c r="J89" s="83"/>
      <c r="K89" s="83"/>
      <c r="L89" s="83"/>
      <c r="M89" s="83"/>
      <c r="N89" s="83"/>
      <c r="O89" s="83"/>
      <c r="P89" s="83"/>
      <c r="Q89" s="83"/>
      <c r="R89" s="83"/>
      <c r="S89" s="83"/>
      <c r="T89" s="84">
        <f t="shared" ref="T89:AU89" si="55">SUM(T83:T88)</f>
        <v>1</v>
      </c>
      <c r="U89" s="84">
        <f t="shared" si="55"/>
        <v>1</v>
      </c>
      <c r="V89" s="395">
        <f t="shared" si="55"/>
        <v>1</v>
      </c>
      <c r="W89" s="84">
        <f t="shared" si="55"/>
        <v>1</v>
      </c>
      <c r="X89" s="84">
        <f t="shared" si="55"/>
        <v>1</v>
      </c>
      <c r="Y89" s="395">
        <f t="shared" si="55"/>
        <v>1</v>
      </c>
      <c r="Z89" s="84">
        <f t="shared" si="55"/>
        <v>1</v>
      </c>
      <c r="AA89" s="84">
        <f t="shared" si="55"/>
        <v>1</v>
      </c>
      <c r="AB89" s="395">
        <f t="shared" si="55"/>
        <v>1</v>
      </c>
      <c r="AC89" s="84">
        <f t="shared" si="55"/>
        <v>1</v>
      </c>
      <c r="AD89" s="84">
        <f t="shared" si="55"/>
        <v>1</v>
      </c>
      <c r="AE89" s="395">
        <f t="shared" si="55"/>
        <v>1</v>
      </c>
      <c r="AF89" s="84">
        <f t="shared" si="55"/>
        <v>1</v>
      </c>
      <c r="AG89" s="84">
        <f t="shared" si="55"/>
        <v>1</v>
      </c>
      <c r="AH89" s="395">
        <f t="shared" si="55"/>
        <v>1</v>
      </c>
      <c r="AI89" s="84">
        <f t="shared" si="55"/>
        <v>1</v>
      </c>
      <c r="AJ89" s="84">
        <f t="shared" si="55"/>
        <v>1</v>
      </c>
      <c r="AK89" s="395">
        <f t="shared" si="55"/>
        <v>1</v>
      </c>
      <c r="AL89" s="84">
        <f t="shared" si="55"/>
        <v>1</v>
      </c>
      <c r="AM89" s="84">
        <f t="shared" si="55"/>
        <v>1</v>
      </c>
      <c r="AN89" s="395">
        <f t="shared" si="55"/>
        <v>1</v>
      </c>
      <c r="AO89" s="84">
        <f t="shared" si="55"/>
        <v>1</v>
      </c>
      <c r="AP89" s="84">
        <f t="shared" si="55"/>
        <v>1</v>
      </c>
      <c r="AQ89" s="395">
        <f t="shared" si="55"/>
        <v>1</v>
      </c>
      <c r="AR89" s="84">
        <f t="shared" si="55"/>
        <v>1</v>
      </c>
      <c r="AS89" s="84">
        <f t="shared" si="55"/>
        <v>1</v>
      </c>
      <c r="AT89" s="395">
        <f t="shared" si="55"/>
        <v>1</v>
      </c>
      <c r="AU89" s="84">
        <f t="shared" si="55"/>
        <v>1</v>
      </c>
      <c r="AV89" s="84">
        <f t="shared" ref="AV89:AY89" si="56">SUM(AV83:AV88)</f>
        <v>1</v>
      </c>
      <c r="AW89" s="395">
        <f t="shared" si="56"/>
        <v>1</v>
      </c>
      <c r="AX89" s="84">
        <f t="shared" si="56"/>
        <v>1</v>
      </c>
      <c r="AY89" s="84">
        <f t="shared" si="56"/>
        <v>1</v>
      </c>
      <c r="AZ89" s="395">
        <f t="shared" ref="AZ89" si="57">SUM(AZ83:AZ88)</f>
        <v>1</v>
      </c>
    </row>
    <row r="90" spans="1:52" ht="14.5" thickTop="1" x14ac:dyDescent="0.3">
      <c r="A90" s="46"/>
      <c r="T90" s="288"/>
      <c r="U90" s="288"/>
      <c r="V90" s="479"/>
      <c r="W90" s="288"/>
      <c r="Y90" s="479"/>
      <c r="AB90" s="479"/>
      <c r="AE90" s="479"/>
      <c r="AG90" s="288"/>
      <c r="AH90" s="479"/>
      <c r="AK90" s="479"/>
      <c r="AN90" s="479"/>
      <c r="AQ90" s="479"/>
      <c r="AT90" s="479"/>
      <c r="AV90" s="288"/>
      <c r="AW90" s="479"/>
      <c r="AX90" s="288"/>
      <c r="AY90" s="288"/>
      <c r="AZ90" s="479"/>
    </row>
    <row r="91" spans="1:52" s="138" customFormat="1" ht="13" x14ac:dyDescent="0.3">
      <c r="A91" s="25"/>
      <c r="B91" s="468" t="s">
        <v>720</v>
      </c>
      <c r="C91" s="469"/>
      <c r="D91" s="469"/>
      <c r="E91" s="469"/>
      <c r="F91" s="469"/>
      <c r="G91" s="469"/>
      <c r="H91" s="469"/>
      <c r="I91" s="469"/>
      <c r="J91" s="469"/>
      <c r="K91" s="469"/>
      <c r="L91" s="469"/>
      <c r="M91" s="469"/>
      <c r="N91" s="469"/>
      <c r="O91" s="469"/>
      <c r="P91" s="469"/>
      <c r="Q91" s="469"/>
      <c r="R91" s="469"/>
      <c r="S91" s="469"/>
      <c r="T91" s="469"/>
      <c r="U91" s="469"/>
      <c r="V91" s="469"/>
      <c r="W91" s="469"/>
      <c r="X91" s="469"/>
      <c r="Y91" s="469"/>
      <c r="Z91" s="469"/>
      <c r="AA91" s="469"/>
      <c r="AB91" s="470"/>
      <c r="AC91" s="469"/>
      <c r="AD91" s="469"/>
      <c r="AE91" s="470"/>
      <c r="AF91" s="469"/>
      <c r="AG91" s="469"/>
      <c r="AH91" s="470"/>
      <c r="AI91" s="469"/>
      <c r="AJ91" s="469"/>
      <c r="AK91" s="470"/>
      <c r="AL91" s="469"/>
      <c r="AM91" s="469"/>
      <c r="AN91" s="470"/>
      <c r="AO91" s="469"/>
      <c r="AP91" s="470"/>
      <c r="AQ91" s="470"/>
      <c r="AR91" s="469"/>
      <c r="AS91" s="469"/>
      <c r="AT91" s="470"/>
      <c r="AU91" s="469"/>
      <c r="AV91" s="469"/>
      <c r="AW91" s="470"/>
      <c r="AX91" s="469"/>
      <c r="AY91" s="469"/>
      <c r="AZ91" s="470"/>
    </row>
    <row r="92" spans="1:52" s="35" customFormat="1" ht="14.5" x14ac:dyDescent="0.35">
      <c r="A92" s="46"/>
      <c r="B92" s="394" t="s">
        <v>704</v>
      </c>
      <c r="C92" s="121"/>
      <c r="D92" s="121"/>
      <c r="E92" s="121"/>
      <c r="F92" s="121"/>
      <c r="G92" s="121"/>
      <c r="H92" s="121"/>
      <c r="I92" s="121"/>
      <c r="J92" s="121"/>
      <c r="K92" s="121"/>
      <c r="L92" s="121"/>
      <c r="M92" s="121"/>
      <c r="N92" s="121"/>
      <c r="O92" s="121"/>
      <c r="P92" s="121"/>
      <c r="Q92" s="121"/>
      <c r="R92" s="121"/>
      <c r="S92" s="121"/>
      <c r="T92" s="122"/>
      <c r="U92" s="122"/>
      <c r="V92" s="396"/>
      <c r="W92" s="122"/>
      <c r="X92" s="122"/>
      <c r="Y92" s="396"/>
      <c r="Z92" s="122"/>
      <c r="AA92" s="122"/>
      <c r="AB92" s="396"/>
      <c r="AC92" s="122">
        <v>0.21</v>
      </c>
      <c r="AD92" s="122">
        <f>((AE92*Database!AE$32)-(AC92*Database!AC$32))/Database!AD$32</f>
        <v>0.21</v>
      </c>
      <c r="AE92" s="396">
        <v>0.21</v>
      </c>
      <c r="AF92" s="122">
        <v>0.22</v>
      </c>
      <c r="AG92" s="122">
        <f>((AH92*Database!AH$32)-(AF92*Database!AF$32))/Database!AG$32</f>
        <v>0.22000000000000003</v>
      </c>
      <c r="AH92" s="396">
        <v>0.22</v>
      </c>
      <c r="AI92" s="122">
        <v>0.24</v>
      </c>
      <c r="AJ92" s="122">
        <f>((AK92*Database!AK$32)-(AI92*Database!AI$32))/Database!AJ$32</f>
        <v>0.26248250959151437</v>
      </c>
      <c r="AK92" s="396">
        <v>0.25</v>
      </c>
      <c r="AL92" s="122">
        <v>0.27</v>
      </c>
      <c r="AM92" s="122">
        <f>((AN92*Database!AN$32)-(AL92*Database!AL$32))/Database!AM$32</f>
        <v>0.25146375933777509</v>
      </c>
      <c r="AN92" s="396">
        <v>0.26</v>
      </c>
      <c r="AO92" s="122">
        <v>0.26</v>
      </c>
      <c r="AP92" s="122">
        <f>((AQ92*Database!AQ$32)-(AO92*Database!AO$32))/Database!AP$32</f>
        <v>0.26000000000000006</v>
      </c>
      <c r="AQ92" s="396">
        <v>0.26</v>
      </c>
      <c r="AR92" s="122">
        <v>0.27</v>
      </c>
      <c r="AS92" s="122">
        <v>0.27</v>
      </c>
      <c r="AT92" s="396">
        <v>0.27</v>
      </c>
      <c r="AU92" s="122">
        <v>0.28000000000000003</v>
      </c>
      <c r="AV92" s="122">
        <v>0.28000000000000003</v>
      </c>
      <c r="AW92" s="396">
        <v>0.28000000000000003</v>
      </c>
      <c r="AX92" s="122">
        <v>0.27</v>
      </c>
      <c r="AY92" s="122">
        <v>0.27</v>
      </c>
      <c r="AZ92" s="396">
        <v>0.27</v>
      </c>
    </row>
    <row r="93" spans="1:52" s="35" customFormat="1" ht="14.5" x14ac:dyDescent="0.35">
      <c r="A93" s="46"/>
      <c r="B93" s="394" t="s">
        <v>496</v>
      </c>
      <c r="C93" s="121"/>
      <c r="D93" s="121"/>
      <c r="E93" s="121"/>
      <c r="F93" s="121"/>
      <c r="G93" s="121"/>
      <c r="H93" s="121"/>
      <c r="I93" s="121"/>
      <c r="J93" s="121"/>
      <c r="K93" s="121"/>
      <c r="L93" s="121"/>
      <c r="M93" s="121"/>
      <c r="N93" s="121"/>
      <c r="O93" s="121"/>
      <c r="P93" s="121"/>
      <c r="Q93" s="121"/>
      <c r="R93" s="121"/>
      <c r="S93" s="121"/>
      <c r="T93" s="122"/>
      <c r="U93" s="122"/>
      <c r="V93" s="396"/>
      <c r="W93" s="122"/>
      <c r="X93" s="122"/>
      <c r="Y93" s="396"/>
      <c r="Z93" s="122"/>
      <c r="AA93" s="122"/>
      <c r="AB93" s="396"/>
      <c r="AC93" s="122">
        <v>0.13</v>
      </c>
      <c r="AD93" s="122">
        <f>((AE93*Database!AE$32)-(AC93*Database!AC$32))/Database!AD$32</f>
        <v>0.11038756855575867</v>
      </c>
      <c r="AE93" s="396">
        <v>0.12</v>
      </c>
      <c r="AF93" s="122">
        <v>0.14000000000000001</v>
      </c>
      <c r="AG93" s="122">
        <f>((AH93*Database!AH$32)-(AF93*Database!AF$32))/Database!AG$32</f>
        <v>0.11988784048424427</v>
      </c>
      <c r="AH93" s="396">
        <v>0.13</v>
      </c>
      <c r="AI93" s="122">
        <v>0.13</v>
      </c>
      <c r="AJ93" s="122">
        <f>((AK93*Database!AK$32)-(AI93*Database!AI$32))/Database!AJ$32</f>
        <v>0.12999999999999998</v>
      </c>
      <c r="AK93" s="396">
        <v>0.13</v>
      </c>
      <c r="AL93" s="122">
        <v>0.12</v>
      </c>
      <c r="AM93" s="122">
        <f>((AN93*Database!AN$32)-(AL93*Database!AL$32))/Database!AM$32</f>
        <v>0.12</v>
      </c>
      <c r="AN93" s="396">
        <v>0.12</v>
      </c>
      <c r="AO93" s="122">
        <v>0.12</v>
      </c>
      <c r="AP93" s="122">
        <f>((AQ93*Database!AQ$32)-(AO93*Database!AO$32))/Database!AP$32</f>
        <v>0.12000000000000001</v>
      </c>
      <c r="AQ93" s="396">
        <v>0.12</v>
      </c>
      <c r="AR93" s="122">
        <v>0.11</v>
      </c>
      <c r="AS93" s="122">
        <v>0.11</v>
      </c>
      <c r="AT93" s="396">
        <v>0.11</v>
      </c>
      <c r="AU93" s="122">
        <v>0.11</v>
      </c>
      <c r="AV93" s="122">
        <v>0.11</v>
      </c>
      <c r="AW93" s="396">
        <v>0.11</v>
      </c>
      <c r="AX93" s="122">
        <v>0.11</v>
      </c>
      <c r="AY93" s="122">
        <v>0.11</v>
      </c>
      <c r="AZ93" s="396">
        <v>0.11</v>
      </c>
    </row>
    <row r="94" spans="1:52" s="35" customFormat="1" ht="14.5" x14ac:dyDescent="0.35">
      <c r="A94" s="46"/>
      <c r="B94" s="394" t="s">
        <v>501</v>
      </c>
      <c r="C94" s="121"/>
      <c r="D94" s="121"/>
      <c r="E94" s="121"/>
      <c r="F94" s="121"/>
      <c r="G94" s="121"/>
      <c r="H94" s="121"/>
      <c r="I94" s="121"/>
      <c r="J94" s="121"/>
      <c r="K94" s="121"/>
      <c r="L94" s="121"/>
      <c r="M94" s="121"/>
      <c r="N94" s="121"/>
      <c r="O94" s="121"/>
      <c r="P94" s="121"/>
      <c r="Q94" s="121"/>
      <c r="R94" s="121"/>
      <c r="S94" s="121"/>
      <c r="T94" s="122"/>
      <c r="U94" s="122"/>
      <c r="V94" s="396"/>
      <c r="W94" s="122"/>
      <c r="X94" s="122"/>
      <c r="Y94" s="396"/>
      <c r="Z94" s="122"/>
      <c r="AA94" s="122"/>
      <c r="AB94" s="396"/>
      <c r="AC94" s="122">
        <v>0.09</v>
      </c>
      <c r="AD94" s="122">
        <f>((AE94*Database!AE$32)-(AC94*Database!AC$32))/Database!AD$32</f>
        <v>7.0387568555758687E-2</v>
      </c>
      <c r="AE94" s="396">
        <v>0.08</v>
      </c>
      <c r="AF94" s="122">
        <v>0.08</v>
      </c>
      <c r="AG94" s="122">
        <f>((AH94*Database!AH$32)-(AF94*Database!AF$32))/Database!AG$32</f>
        <v>0.08</v>
      </c>
      <c r="AH94" s="396">
        <v>0.08</v>
      </c>
      <c r="AI94" s="122">
        <v>0.08</v>
      </c>
      <c r="AJ94" s="122">
        <f>((AK94*Database!AK$32)-(AI94*Database!AI$32))/Database!AJ$32</f>
        <v>0.10248250959151432</v>
      </c>
      <c r="AK94" s="396">
        <v>0.09</v>
      </c>
      <c r="AL94" s="122">
        <v>0.1</v>
      </c>
      <c r="AM94" s="122">
        <f>((AN94*Database!AN$32)-(AL94*Database!AL$32))/Database!AM$32</f>
        <v>0.1</v>
      </c>
      <c r="AN94" s="396">
        <v>0.1</v>
      </c>
      <c r="AO94" s="122">
        <v>0.1</v>
      </c>
      <c r="AP94" s="122">
        <f>((AQ94*Database!AQ$32)-(AO94*Database!AO$32))/Database!AP$32</f>
        <v>8.0942156705656146E-2</v>
      </c>
      <c r="AQ94" s="396">
        <v>0.09</v>
      </c>
      <c r="AR94" s="122">
        <v>0.08</v>
      </c>
      <c r="AS94" s="122">
        <v>0.08</v>
      </c>
      <c r="AT94" s="396">
        <v>0.08</v>
      </c>
      <c r="AU94" s="122">
        <v>7.0000000000000007E-2</v>
      </c>
      <c r="AV94" s="122">
        <v>7.0000000000000007E-2</v>
      </c>
      <c r="AW94" s="396">
        <v>7.0000000000000007E-2</v>
      </c>
      <c r="AX94" s="122">
        <v>0.06</v>
      </c>
      <c r="AY94" s="122">
        <v>7.0000000000000007E-2</v>
      </c>
      <c r="AZ94" s="396">
        <v>7.0000000000000007E-2</v>
      </c>
    </row>
    <row r="95" spans="1:52" s="35" customFormat="1" ht="14.5" x14ac:dyDescent="0.35">
      <c r="A95" s="46"/>
      <c r="B95" s="394" t="s">
        <v>497</v>
      </c>
      <c r="C95" s="121"/>
      <c r="D95" s="121"/>
      <c r="E95" s="121"/>
      <c r="F95" s="121"/>
      <c r="G95" s="121"/>
      <c r="H95" s="121"/>
      <c r="I95" s="121"/>
      <c r="J95" s="121"/>
      <c r="K95" s="121"/>
      <c r="L95" s="121"/>
      <c r="M95" s="121"/>
      <c r="N95" s="121"/>
      <c r="O95" s="121"/>
      <c r="P95" s="121"/>
      <c r="Q95" s="121"/>
      <c r="R95" s="121"/>
      <c r="S95" s="121"/>
      <c r="T95" s="122"/>
      <c r="U95" s="122"/>
      <c r="V95" s="396"/>
      <c r="W95" s="122"/>
      <c r="X95" s="122"/>
      <c r="Y95" s="396"/>
      <c r="Z95" s="122"/>
      <c r="AA95" s="122"/>
      <c r="AB95" s="396"/>
      <c r="AC95" s="122">
        <v>0.1</v>
      </c>
      <c r="AD95" s="122">
        <f>((AE95*Database!AE$32)-(AC95*Database!AC$32))/Database!AD$32</f>
        <v>0.1</v>
      </c>
      <c r="AE95" s="396">
        <v>0.1</v>
      </c>
      <c r="AF95" s="122">
        <v>0.1</v>
      </c>
      <c r="AG95" s="122">
        <f>((AH95*Database!AH$32)-(AF95*Database!AF$32))/Database!AG$32</f>
        <v>0.1</v>
      </c>
      <c r="AH95" s="396">
        <v>0.1</v>
      </c>
      <c r="AI95" s="122">
        <v>0.11</v>
      </c>
      <c r="AJ95" s="122">
        <f>((AK95*Database!AK$32)-(AI95*Database!AI$32))/Database!AJ$32</f>
        <v>8.7517490408485679E-2</v>
      </c>
      <c r="AK95" s="396">
        <v>0.1</v>
      </c>
      <c r="AL95" s="122">
        <v>0.09</v>
      </c>
      <c r="AM95" s="122">
        <f>((AN95*Database!AN$32)-(AL95*Database!AL$32))/Database!AM$32</f>
        <v>9.0000000000000011E-2</v>
      </c>
      <c r="AN95" s="396">
        <v>0.09</v>
      </c>
      <c r="AO95" s="122">
        <v>0.1</v>
      </c>
      <c r="AP95" s="122">
        <f>((AQ95*Database!AQ$32)-(AO95*Database!AO$32))/Database!AP$32</f>
        <v>8.0942156705656146E-2</v>
      </c>
      <c r="AQ95" s="396">
        <v>0.09</v>
      </c>
      <c r="AR95" s="122">
        <v>0.1</v>
      </c>
      <c r="AS95" s="122">
        <v>0.1</v>
      </c>
      <c r="AT95" s="396">
        <v>0.1</v>
      </c>
      <c r="AU95" s="122">
        <v>0.09</v>
      </c>
      <c r="AV95" s="122">
        <v>0.09</v>
      </c>
      <c r="AW95" s="396">
        <v>0.09</v>
      </c>
      <c r="AX95" s="122">
        <v>0.09</v>
      </c>
      <c r="AY95" s="122">
        <v>0.09</v>
      </c>
      <c r="AZ95" s="396">
        <v>0.09</v>
      </c>
    </row>
    <row r="96" spans="1:52" s="35" customFormat="1" ht="14.5" x14ac:dyDescent="0.35">
      <c r="A96" s="46"/>
      <c r="B96" s="394" t="s">
        <v>502</v>
      </c>
      <c r="C96" s="121"/>
      <c r="D96" s="121"/>
      <c r="E96" s="121"/>
      <c r="F96" s="121"/>
      <c r="G96" s="121"/>
      <c r="H96" s="121"/>
      <c r="I96" s="121"/>
      <c r="J96" s="121"/>
      <c r="K96" s="121"/>
      <c r="L96" s="121"/>
      <c r="M96" s="121"/>
      <c r="N96" s="121"/>
      <c r="O96" s="121"/>
      <c r="P96" s="121"/>
      <c r="Q96" s="121"/>
      <c r="R96" s="121"/>
      <c r="S96" s="121"/>
      <c r="T96" s="122"/>
      <c r="U96" s="122"/>
      <c r="V96" s="396"/>
      <c r="W96" s="122"/>
      <c r="X96" s="122"/>
      <c r="Y96" s="396"/>
      <c r="Z96" s="122"/>
      <c r="AA96" s="122"/>
      <c r="AB96" s="396"/>
      <c r="AC96" s="122">
        <v>7.0000000000000007E-2</v>
      </c>
      <c r="AD96" s="122">
        <f>((AE96*Database!AE$32)-(AC96*Database!AC$32))/Database!AD$32</f>
        <v>7.0000000000000007E-2</v>
      </c>
      <c r="AE96" s="396">
        <v>7.0000000000000007E-2</v>
      </c>
      <c r="AF96" s="122">
        <v>0.06</v>
      </c>
      <c r="AG96" s="122">
        <f>((AH96*Database!AH$32)-(AF96*Database!AF$32))/Database!AG$32</f>
        <v>5.9999999999999991E-2</v>
      </c>
      <c r="AH96" s="396">
        <v>0.06</v>
      </c>
      <c r="AI96" s="122">
        <v>7.0000000000000007E-2</v>
      </c>
      <c r="AJ96" s="122">
        <f>((AK96*Database!AK$32)-(AI96*Database!AI$32))/Database!AJ$32</f>
        <v>7.0000000000000007E-2</v>
      </c>
      <c r="AK96" s="396">
        <v>7.0000000000000007E-2</v>
      </c>
      <c r="AL96" s="122">
        <v>0.06</v>
      </c>
      <c r="AM96" s="122">
        <f>((AN96*Database!AN$32)-(AL96*Database!AL$32))/Database!AM$32</f>
        <v>7.8536240662224949E-2</v>
      </c>
      <c r="AN96" s="396">
        <v>7.0000000000000007E-2</v>
      </c>
      <c r="AO96" s="122">
        <v>7.0000000000000007E-2</v>
      </c>
      <c r="AP96" s="122">
        <f>((AQ96*Database!AQ$32)-(AO96*Database!AO$32))/Database!AP$32</f>
        <v>7.0000000000000021E-2</v>
      </c>
      <c r="AQ96" s="396">
        <v>7.0000000000000007E-2</v>
      </c>
      <c r="AR96" s="122">
        <v>0.06</v>
      </c>
      <c r="AS96" s="122">
        <v>0.06</v>
      </c>
      <c r="AT96" s="396">
        <v>0.06</v>
      </c>
      <c r="AU96" s="122">
        <v>0.05</v>
      </c>
      <c r="AV96" s="122">
        <v>0.05</v>
      </c>
      <c r="AW96" s="396">
        <v>0.05</v>
      </c>
      <c r="AX96" s="122">
        <v>0.05</v>
      </c>
      <c r="AY96" s="122">
        <v>0.05</v>
      </c>
      <c r="AZ96" s="396">
        <v>0.05</v>
      </c>
    </row>
    <row r="97" spans="1:52" s="35" customFormat="1" ht="14.5" x14ac:dyDescent="0.35">
      <c r="A97" s="46"/>
      <c r="B97" s="394" t="s">
        <v>498</v>
      </c>
      <c r="C97" s="121"/>
      <c r="D97" s="121"/>
      <c r="E97" s="121"/>
      <c r="F97" s="121"/>
      <c r="G97" s="121"/>
      <c r="H97" s="121"/>
      <c r="I97" s="121"/>
      <c r="J97" s="121"/>
      <c r="K97" s="121"/>
      <c r="L97" s="121"/>
      <c r="M97" s="121"/>
      <c r="N97" s="121"/>
      <c r="O97" s="121"/>
      <c r="P97" s="121"/>
      <c r="Q97" s="121"/>
      <c r="R97" s="121"/>
      <c r="S97" s="121"/>
      <c r="T97" s="122"/>
      <c r="U97" s="122"/>
      <c r="V97" s="396"/>
      <c r="W97" s="122"/>
      <c r="X97" s="122"/>
      <c r="Y97" s="396"/>
      <c r="Z97" s="122"/>
      <c r="AA97" s="122"/>
      <c r="AB97" s="396"/>
      <c r="AC97" s="122">
        <v>0.06</v>
      </c>
      <c r="AD97" s="122">
        <f>((AE97*Database!AE$32)-(AC97*Database!AC$32))/Database!AD$32</f>
        <v>0.06</v>
      </c>
      <c r="AE97" s="396">
        <v>0.06</v>
      </c>
      <c r="AF97" s="122">
        <v>0.06</v>
      </c>
      <c r="AG97" s="122">
        <f>((AH97*Database!AH$32)-(AF97*Database!AF$32))/Database!AG$32</f>
        <v>5.9999999999999991E-2</v>
      </c>
      <c r="AH97" s="396">
        <v>0.06</v>
      </c>
      <c r="AI97" s="122">
        <v>0.05</v>
      </c>
      <c r="AJ97" s="122">
        <f>((AK97*Database!AK$32)-(AI97*Database!AI$32))/Database!AJ$32</f>
        <v>0.05</v>
      </c>
      <c r="AK97" s="396">
        <v>0.05</v>
      </c>
      <c r="AL97" s="122">
        <v>0.06</v>
      </c>
      <c r="AM97" s="122">
        <f>((AN97*Database!AN$32)-(AL97*Database!AL$32))/Database!AM$32</f>
        <v>0.06</v>
      </c>
      <c r="AN97" s="396">
        <v>0.06</v>
      </c>
      <c r="AO97" s="122">
        <v>0.06</v>
      </c>
      <c r="AP97" s="122">
        <f>((AQ97*Database!AQ$32)-(AO97*Database!AO$32))/Database!AP$32</f>
        <v>6.0000000000000005E-2</v>
      </c>
      <c r="AQ97" s="396">
        <v>0.06</v>
      </c>
      <c r="AR97" s="122">
        <v>0.06</v>
      </c>
      <c r="AS97" s="122">
        <v>0.06</v>
      </c>
      <c r="AT97" s="396">
        <v>0.06</v>
      </c>
      <c r="AU97" s="122">
        <v>7.0000000000000007E-2</v>
      </c>
      <c r="AV97" s="122">
        <v>7.0000000000000007E-2</v>
      </c>
      <c r="AW97" s="396">
        <v>7.0000000000000007E-2</v>
      </c>
      <c r="AX97" s="122">
        <v>7.0000000000000007E-2</v>
      </c>
      <c r="AY97" s="122">
        <v>0.08</v>
      </c>
      <c r="AZ97" s="396">
        <v>0.08</v>
      </c>
    </row>
    <row r="98" spans="1:52" s="35" customFormat="1" ht="14.5" x14ac:dyDescent="0.35">
      <c r="A98" s="46"/>
      <c r="B98" s="394" t="s">
        <v>499</v>
      </c>
      <c r="C98" s="121"/>
      <c r="D98" s="121"/>
      <c r="E98" s="121"/>
      <c r="F98" s="121"/>
      <c r="G98" s="121"/>
      <c r="H98" s="121"/>
      <c r="I98" s="121"/>
      <c r="J98" s="121"/>
      <c r="K98" s="121"/>
      <c r="L98" s="121"/>
      <c r="M98" s="121"/>
      <c r="N98" s="121"/>
      <c r="O98" s="121"/>
      <c r="P98" s="121"/>
      <c r="Q98" s="121"/>
      <c r="R98" s="121"/>
      <c r="S98" s="121"/>
      <c r="T98" s="122"/>
      <c r="U98" s="122"/>
      <c r="V98" s="396"/>
      <c r="W98" s="122"/>
      <c r="X98" s="122"/>
      <c r="Y98" s="396"/>
      <c r="Z98" s="122"/>
      <c r="AA98" s="122"/>
      <c r="AB98" s="396"/>
      <c r="AC98" s="122">
        <v>7.0000000000000007E-2</v>
      </c>
      <c r="AD98" s="122">
        <f>((AE98*Database!AE$32)-(AC98*Database!AC$32))/Database!AD$32</f>
        <v>7.0000000000000007E-2</v>
      </c>
      <c r="AE98" s="396">
        <v>7.0000000000000007E-2</v>
      </c>
      <c r="AF98" s="122">
        <v>0.06</v>
      </c>
      <c r="AG98" s="122">
        <f>((AH98*Database!AH$32)-(AF98*Database!AF$32))/Database!AG$32</f>
        <v>5.9999999999999991E-2</v>
      </c>
      <c r="AH98" s="396">
        <v>0.06</v>
      </c>
      <c r="AI98" s="122">
        <v>0.06</v>
      </c>
      <c r="AJ98" s="122">
        <f>((AK98*Database!AK$32)-(AI98*Database!AI$32))/Database!AJ$32</f>
        <v>3.7517490408485669E-2</v>
      </c>
      <c r="AK98" s="396">
        <v>0.05</v>
      </c>
      <c r="AL98" s="122">
        <v>0.05</v>
      </c>
      <c r="AM98" s="122">
        <f>((AN98*Database!AN$32)-(AL98*Database!AL$32))/Database!AM$32</f>
        <v>0.05</v>
      </c>
      <c r="AN98" s="396">
        <v>0.05</v>
      </c>
      <c r="AO98" s="122">
        <v>0.05</v>
      </c>
      <c r="AP98" s="122">
        <f>((AQ98*Database!AQ$32)-(AO98*Database!AO$32))/Database!AP$32</f>
        <v>5.000000000000001E-2</v>
      </c>
      <c r="AQ98" s="396">
        <v>0.05</v>
      </c>
      <c r="AR98" s="122">
        <v>0.04</v>
      </c>
      <c r="AS98" s="122">
        <v>0.04</v>
      </c>
      <c r="AT98" s="396">
        <v>0.04</v>
      </c>
      <c r="AU98" s="122">
        <v>0.05</v>
      </c>
      <c r="AV98" s="122">
        <v>0.05</v>
      </c>
      <c r="AW98" s="396">
        <v>0.05</v>
      </c>
      <c r="AX98" s="122">
        <v>0.04</v>
      </c>
      <c r="AY98" s="122">
        <v>0.04</v>
      </c>
      <c r="AZ98" s="396">
        <v>0.04</v>
      </c>
    </row>
    <row r="99" spans="1:52" s="35" customFormat="1" ht="14.5" x14ac:dyDescent="0.35">
      <c r="A99" s="46"/>
      <c r="B99" s="394" t="s">
        <v>503</v>
      </c>
      <c r="C99" s="121"/>
      <c r="D99" s="121"/>
      <c r="E99" s="121"/>
      <c r="F99" s="121"/>
      <c r="G99" s="121"/>
      <c r="H99" s="121"/>
      <c r="I99" s="121"/>
      <c r="J99" s="121"/>
      <c r="K99" s="121"/>
      <c r="L99" s="121"/>
      <c r="M99" s="121"/>
      <c r="N99" s="121"/>
      <c r="O99" s="121"/>
      <c r="P99" s="121"/>
      <c r="Q99" s="121"/>
      <c r="R99" s="121"/>
      <c r="S99" s="121"/>
      <c r="T99" s="122"/>
      <c r="U99" s="122"/>
      <c r="V99" s="396"/>
      <c r="W99" s="122"/>
      <c r="X99" s="122"/>
      <c r="Y99" s="396"/>
      <c r="Z99" s="122"/>
      <c r="AA99" s="122"/>
      <c r="AB99" s="396"/>
      <c r="AC99" s="122">
        <f>1-SUM(AC92:AC98)</f>
        <v>0.27</v>
      </c>
      <c r="AD99" s="122">
        <f>1-SUM(AD92:AD98)</f>
        <v>0.30922486288848261</v>
      </c>
      <c r="AE99" s="396">
        <f>1-SUM(AE92:AE98)</f>
        <v>0.28999999999999981</v>
      </c>
      <c r="AF99" s="122">
        <f>1-SUM(AF92:AF98)</f>
        <v>0.2799999999999998</v>
      </c>
      <c r="AG99" s="122">
        <f>1-SUM(AG92:AG98)</f>
        <v>0.30011215951575587</v>
      </c>
      <c r="AH99" s="396">
        <v>0.28999999999999998</v>
      </c>
      <c r="AI99" s="122">
        <f t="shared" ref="AI99:AN99" si="58">1-SUM(AI92:AI98)</f>
        <v>0.25999999999999979</v>
      </c>
      <c r="AJ99" s="122">
        <f t="shared" si="58"/>
        <v>0.26</v>
      </c>
      <c r="AK99" s="396">
        <f t="shared" si="58"/>
        <v>0.26</v>
      </c>
      <c r="AL99" s="122">
        <f t="shared" si="58"/>
        <v>0.25</v>
      </c>
      <c r="AM99" s="122">
        <f t="shared" si="58"/>
        <v>0.25</v>
      </c>
      <c r="AN99" s="396">
        <f t="shared" si="58"/>
        <v>0.25</v>
      </c>
      <c r="AO99" s="122">
        <v>0.24</v>
      </c>
      <c r="AP99" s="122">
        <f t="shared" ref="AP99" si="59">1-SUM(AP92:AP98)</f>
        <v>0.27811568658868746</v>
      </c>
      <c r="AQ99" s="396">
        <f t="shared" ref="AQ99" si="60">1-SUM(AQ92:AQ98)</f>
        <v>0.26</v>
      </c>
      <c r="AR99" s="122">
        <v>0.28000000000000003</v>
      </c>
      <c r="AS99" s="122">
        <v>0.28000000000000003</v>
      </c>
      <c r="AT99" s="396">
        <v>0.28000000000000003</v>
      </c>
      <c r="AU99" s="122">
        <v>0.28000000000000003</v>
      </c>
      <c r="AV99" s="122">
        <v>0.28000000000000003</v>
      </c>
      <c r="AW99" s="396">
        <v>0.28000000000000003</v>
      </c>
      <c r="AX99" s="122">
        <f>1-SUM(AX92:AX98)</f>
        <v>0.30999999999999983</v>
      </c>
      <c r="AY99" s="122">
        <f>1-SUM(AY92:AY98)</f>
        <v>0.28999999999999992</v>
      </c>
      <c r="AZ99" s="396">
        <f>1-SUM(AZ92:AZ98)</f>
        <v>0.28999999999999992</v>
      </c>
    </row>
    <row r="100" spans="1:52" s="87" customFormat="1" ht="14.5" thickBot="1" x14ac:dyDescent="0.35">
      <c r="A100" s="35"/>
      <c r="B100" s="82" t="s">
        <v>721</v>
      </c>
      <c r="C100" s="83"/>
      <c r="D100" s="83"/>
      <c r="E100" s="83"/>
      <c r="F100" s="83"/>
      <c r="G100" s="83"/>
      <c r="H100" s="83"/>
      <c r="I100" s="83"/>
      <c r="J100" s="83"/>
      <c r="K100" s="83"/>
      <c r="L100" s="83"/>
      <c r="M100" s="83"/>
      <c r="N100" s="83"/>
      <c r="O100" s="83"/>
      <c r="P100" s="83"/>
      <c r="Q100" s="83"/>
      <c r="R100" s="83"/>
      <c r="S100" s="83"/>
      <c r="T100" s="84"/>
      <c r="U100" s="84"/>
      <c r="V100" s="395"/>
      <c r="W100" s="84"/>
      <c r="X100" s="84"/>
      <c r="Y100" s="395"/>
      <c r="Z100" s="84"/>
      <c r="AA100" s="84"/>
      <c r="AB100" s="395"/>
      <c r="AC100" s="84">
        <f>SUM(AC92:AC99)</f>
        <v>1</v>
      </c>
      <c r="AD100" s="84">
        <f t="shared" ref="AD100:AO100" si="61">SUM(AD92:AD99)</f>
        <v>1</v>
      </c>
      <c r="AE100" s="395">
        <f t="shared" si="61"/>
        <v>1</v>
      </c>
      <c r="AF100" s="84">
        <f t="shared" si="61"/>
        <v>1</v>
      </c>
      <c r="AG100" s="84">
        <f t="shared" si="61"/>
        <v>1</v>
      </c>
      <c r="AH100" s="395">
        <f t="shared" si="61"/>
        <v>1.0000000000000002</v>
      </c>
      <c r="AI100" s="84">
        <f t="shared" si="61"/>
        <v>1</v>
      </c>
      <c r="AJ100" s="84">
        <f t="shared" si="61"/>
        <v>1</v>
      </c>
      <c r="AK100" s="395">
        <f t="shared" si="61"/>
        <v>1</v>
      </c>
      <c r="AL100" s="84">
        <f t="shared" si="61"/>
        <v>1</v>
      </c>
      <c r="AM100" s="84">
        <f t="shared" si="61"/>
        <v>1</v>
      </c>
      <c r="AN100" s="395">
        <f t="shared" si="61"/>
        <v>1</v>
      </c>
      <c r="AO100" s="84">
        <f t="shared" si="61"/>
        <v>1</v>
      </c>
      <c r="AP100" s="84">
        <f t="shared" ref="AP100" si="62">SUM(AP92:AP99)</f>
        <v>1</v>
      </c>
      <c r="AQ100" s="395">
        <f t="shared" ref="AQ100:AR100" si="63">SUM(AQ92:AQ99)</f>
        <v>1</v>
      </c>
      <c r="AR100" s="84">
        <f t="shared" si="63"/>
        <v>1.0000000000000002</v>
      </c>
      <c r="AS100" s="84">
        <f t="shared" ref="AS100:AU100" si="64">SUM(AS92:AS99)</f>
        <v>1.0000000000000002</v>
      </c>
      <c r="AT100" s="395">
        <f t="shared" si="64"/>
        <v>1.0000000000000002</v>
      </c>
      <c r="AU100" s="84">
        <f t="shared" si="64"/>
        <v>1.0000000000000002</v>
      </c>
      <c r="AV100" s="84">
        <f t="shared" ref="AV100:AY100" si="65">SUM(AV92:AV99)</f>
        <v>1.0000000000000002</v>
      </c>
      <c r="AW100" s="395">
        <f t="shared" si="65"/>
        <v>1.0000000000000002</v>
      </c>
      <c r="AX100" s="84">
        <f t="shared" si="65"/>
        <v>1</v>
      </c>
      <c r="AY100" s="84">
        <f t="shared" si="65"/>
        <v>1</v>
      </c>
      <c r="AZ100" s="395">
        <f t="shared" ref="AZ100" si="66">SUM(AZ92:AZ99)</f>
        <v>1</v>
      </c>
    </row>
    <row r="101" spans="1:52" ht="14.5" thickTop="1" x14ac:dyDescent="0.3">
      <c r="A101" s="39"/>
    </row>
    <row r="102" spans="1:52" x14ac:dyDescent="0.3">
      <c r="A102" s="198"/>
    </row>
    <row r="103" spans="1:52" x14ac:dyDescent="0.3">
      <c r="A103" s="198"/>
    </row>
    <row r="104" spans="1:52" x14ac:dyDescent="0.3">
      <c r="A104" s="198"/>
    </row>
    <row r="105" spans="1:52" ht="14.5" x14ac:dyDescent="0.35">
      <c r="A105" s="209"/>
    </row>
    <row r="106" spans="1:52" x14ac:dyDescent="0.3">
      <c r="A106" s="12"/>
    </row>
    <row r="108" spans="1:52" x14ac:dyDescent="0.3">
      <c r="A108" s="198"/>
    </row>
    <row r="109" spans="1:52" x14ac:dyDescent="0.3">
      <c r="A109" s="198"/>
    </row>
    <row r="110" spans="1:52" x14ac:dyDescent="0.3">
      <c r="A110" s="20"/>
    </row>
    <row r="111" spans="1:52" x14ac:dyDescent="0.3">
      <c r="A111" s="12"/>
    </row>
    <row r="113" spans="1:1" x14ac:dyDescent="0.3">
      <c r="A113" s="20"/>
    </row>
    <row r="114" spans="1:1" x14ac:dyDescent="0.3">
      <c r="A114" s="20"/>
    </row>
    <row r="115" spans="1:1" x14ac:dyDescent="0.3">
      <c r="A115" s="12"/>
    </row>
    <row r="118" spans="1:1" x14ac:dyDescent="0.3">
      <c r="A118" s="40"/>
    </row>
    <row r="119" spans="1:1" x14ac:dyDescent="0.3">
      <c r="A119" s="37"/>
    </row>
    <row r="120" spans="1:1" x14ac:dyDescent="0.3">
      <c r="A120" s="40"/>
    </row>
    <row r="121" spans="1:1" x14ac:dyDescent="0.3">
      <c r="A121" s="234"/>
    </row>
    <row r="124" spans="1:1" ht="14.5" x14ac:dyDescent="0.35">
      <c r="A124" s="207"/>
    </row>
    <row r="125" spans="1:1" ht="14.5" x14ac:dyDescent="0.35">
      <c r="A125" s="207"/>
    </row>
    <row r="126" spans="1:1" x14ac:dyDescent="0.3">
      <c r="A126" s="40"/>
    </row>
    <row r="127" spans="1:1" x14ac:dyDescent="0.3">
      <c r="A127" s="40"/>
    </row>
    <row r="129" spans="1:1" x14ac:dyDescent="0.3">
      <c r="A129" s="41"/>
    </row>
    <row r="130" spans="1:1" x14ac:dyDescent="0.3">
      <c r="A130" s="37"/>
    </row>
    <row r="131" spans="1:1" x14ac:dyDescent="0.3">
      <c r="A131" s="41"/>
    </row>
    <row r="132" spans="1:1" x14ac:dyDescent="0.3">
      <c r="A132" s="37"/>
    </row>
    <row r="133" spans="1:1" x14ac:dyDescent="0.3">
      <c r="A133" s="12"/>
    </row>
    <row r="134" spans="1:1" x14ac:dyDescent="0.3">
      <c r="A134" s="37"/>
    </row>
    <row r="137" spans="1:1" x14ac:dyDescent="0.3">
      <c r="A137" s="20"/>
    </row>
    <row r="138" spans="1:1" x14ac:dyDescent="0.3">
      <c r="A138" s="20"/>
    </row>
    <row r="140" spans="1:1" x14ac:dyDescent="0.3">
      <c r="A140" s="46"/>
    </row>
    <row r="193" spans="1:1" x14ac:dyDescent="0.3">
      <c r="A193" s="46"/>
    </row>
    <row r="238" spans="1:1" x14ac:dyDescent="0.3">
      <c r="A238" s="132"/>
    </row>
    <row r="239" spans="1:1" x14ac:dyDescent="0.3">
      <c r="A239" s="285"/>
    </row>
    <row r="241" spans="1:1" x14ac:dyDescent="0.3">
      <c r="A241" s="46"/>
    </row>
    <row r="242" spans="1:1" x14ac:dyDescent="0.3">
      <c r="A242" s="46"/>
    </row>
    <row r="243" spans="1:1" x14ac:dyDescent="0.3">
      <c r="A243" s="150"/>
    </row>
    <row r="244" spans="1:1" x14ac:dyDescent="0.3">
      <c r="A244" s="150"/>
    </row>
    <row r="245" spans="1:1" x14ac:dyDescent="0.3">
      <c r="A245" s="150"/>
    </row>
    <row r="246" spans="1:1" x14ac:dyDescent="0.3">
      <c r="A246" s="244"/>
    </row>
    <row r="247" spans="1:1" x14ac:dyDescent="0.3">
      <c r="A247" s="218"/>
    </row>
    <row r="248" spans="1:1" x14ac:dyDescent="0.3">
      <c r="A248" s="126"/>
    </row>
    <row r="249" spans="1:1" x14ac:dyDescent="0.3">
      <c r="A249" s="345"/>
    </row>
    <row r="250" spans="1:1" x14ac:dyDescent="0.3">
      <c r="A250" s="126"/>
    </row>
    <row r="251" spans="1:1" x14ac:dyDescent="0.3">
      <c r="A251" s="346"/>
    </row>
    <row r="252" spans="1:1" x14ac:dyDescent="0.3">
      <c r="A252" s="126"/>
    </row>
    <row r="253" spans="1:1" x14ac:dyDescent="0.3">
      <c r="A253" s="129"/>
    </row>
  </sheetData>
  <phoneticPr fontId="91" type="noConversion"/>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1464E-F79B-4A8C-9838-9BB4EEA3F026}">
  <sheetPr codeName="Sheet4">
    <tabColor theme="6"/>
  </sheetPr>
  <dimension ref="A5:L63"/>
  <sheetViews>
    <sheetView topLeftCell="E1" zoomScale="80" zoomScaleNormal="80" workbookViewId="0">
      <selection activeCell="F6" sqref="F6"/>
    </sheetView>
  </sheetViews>
  <sheetFormatPr defaultColWidth="8.81640625" defaultRowHeight="14" x14ac:dyDescent="0.3"/>
  <cols>
    <col min="1" max="2" width="2.81640625" style="279" customWidth="1"/>
    <col min="3" max="3" width="90.81640625" style="279" customWidth="1"/>
    <col min="4" max="5" width="3.81640625" style="279" customWidth="1"/>
    <col min="6" max="6" width="90.81640625" style="279" customWidth="1"/>
    <col min="7" max="8" width="3.81640625" style="279" customWidth="1"/>
    <col min="9" max="9" width="90.81640625" style="279" customWidth="1"/>
    <col min="10" max="11" width="3.81640625" style="279" customWidth="1"/>
    <col min="12" max="12" width="90.81640625" style="279" customWidth="1"/>
    <col min="13" max="13" width="2.81640625" style="279" customWidth="1"/>
    <col min="14" max="16384" width="8.81640625" style="279"/>
  </cols>
  <sheetData>
    <row r="5" spans="1:12" x14ac:dyDescent="0.3">
      <c r="A5" s="380" t="s">
        <v>602</v>
      </c>
    </row>
    <row r="7" spans="1:12" ht="20.5" thickBot="1" x14ac:dyDescent="0.45">
      <c r="C7" s="381" t="s">
        <v>508</v>
      </c>
      <c r="F7" s="381" t="s">
        <v>509</v>
      </c>
      <c r="I7" s="381" t="s">
        <v>511</v>
      </c>
      <c r="L7" s="381" t="s">
        <v>512</v>
      </c>
    </row>
    <row r="20" spans="3:12" ht="23" x14ac:dyDescent="0.5">
      <c r="C20" s="281"/>
    </row>
    <row r="21" spans="3:12" ht="20.5" thickBot="1" x14ac:dyDescent="0.45">
      <c r="C21" s="381" t="s">
        <v>513</v>
      </c>
      <c r="F21" s="381" t="s">
        <v>510</v>
      </c>
      <c r="I21" s="381" t="s">
        <v>518</v>
      </c>
      <c r="L21" s="382"/>
    </row>
    <row r="34" spans="3:12" ht="23" x14ac:dyDescent="0.5">
      <c r="C34" s="281"/>
    </row>
    <row r="35" spans="3:12" ht="20.5" thickBot="1" x14ac:dyDescent="0.45">
      <c r="C35" s="381" t="s">
        <v>514</v>
      </c>
      <c r="F35" s="381" t="s">
        <v>515</v>
      </c>
      <c r="I35" s="381" t="s">
        <v>516</v>
      </c>
      <c r="L35" s="381" t="s">
        <v>517</v>
      </c>
    </row>
    <row r="47" spans="3:12" ht="14.25" customHeight="1" x14ac:dyDescent="0.5">
      <c r="C47" s="281"/>
    </row>
    <row r="48" spans="3:12" ht="23" x14ac:dyDescent="0.5">
      <c r="C48" s="281"/>
    </row>
    <row r="49" spans="3:12" ht="20.5" thickBot="1" x14ac:dyDescent="0.45">
      <c r="C49" s="282" t="s">
        <v>112</v>
      </c>
      <c r="F49" s="280" t="s">
        <v>113</v>
      </c>
      <c r="I49" s="373" t="s">
        <v>464</v>
      </c>
      <c r="L49" s="372" t="s">
        <v>114</v>
      </c>
    </row>
    <row r="61" spans="3:12" ht="14.25" customHeight="1" x14ac:dyDescent="0.5">
      <c r="C61" s="281"/>
    </row>
    <row r="62" spans="3:12" ht="23" x14ac:dyDescent="0.5">
      <c r="C62" s="281"/>
    </row>
    <row r="63" spans="3:12" ht="20.5" thickBot="1" x14ac:dyDescent="0.45">
      <c r="C63" s="374" t="s">
        <v>467</v>
      </c>
      <c r="F63" s="493" t="s">
        <v>468</v>
      </c>
      <c r="I63" s="491" t="s">
        <v>522</v>
      </c>
      <c r="L63" s="492" t="s">
        <v>699</v>
      </c>
    </row>
  </sheetData>
  <pageMargins left="0.7" right="0.54" top="0.75" bottom="0.62" header="0.3" footer="0.3"/>
  <pageSetup paperSize="9" orientation="portrait" horizontalDpi="1440" verticalDpi="144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5D572-81EE-4594-B987-85627B63F307}">
  <dimension ref="A1:X23"/>
  <sheetViews>
    <sheetView zoomScale="85" zoomScaleNormal="85" workbookViewId="0">
      <selection activeCell="C18" sqref="C18"/>
    </sheetView>
  </sheetViews>
  <sheetFormatPr defaultColWidth="8.81640625" defaultRowHeight="14" x14ac:dyDescent="0.3"/>
  <cols>
    <col min="1" max="1" width="2.81640625" style="279" customWidth="1"/>
    <col min="2" max="2" width="28.453125" style="390" customWidth="1"/>
    <col min="3" max="3" width="105.81640625" style="393" customWidth="1"/>
    <col min="4" max="16384" width="8.81640625" style="279"/>
  </cols>
  <sheetData>
    <row r="1" spans="1:24" x14ac:dyDescent="0.3">
      <c r="A1" s="383"/>
      <c r="B1" s="384"/>
      <c r="C1" s="392"/>
      <c r="D1" s="385"/>
      <c r="E1" s="386"/>
      <c r="F1" s="385"/>
      <c r="G1" s="385"/>
      <c r="H1" s="386"/>
      <c r="I1" s="385"/>
      <c r="J1" s="385"/>
      <c r="K1" s="386"/>
      <c r="L1" s="385"/>
      <c r="M1" s="385"/>
      <c r="N1" s="386"/>
      <c r="O1" s="385"/>
      <c r="R1" s="385"/>
      <c r="U1" s="385"/>
      <c r="X1" s="385"/>
    </row>
    <row r="2" spans="1:24" x14ac:dyDescent="0.3">
      <c r="A2" s="383"/>
      <c r="B2" s="384"/>
      <c r="C2" s="392"/>
      <c r="D2" s="385"/>
      <c r="E2" s="386"/>
      <c r="F2" s="385"/>
      <c r="G2" s="385"/>
      <c r="H2" s="386"/>
      <c r="I2" s="385"/>
      <c r="J2" s="385"/>
      <c r="K2" s="386"/>
      <c r="L2" s="385"/>
      <c r="M2" s="385"/>
      <c r="N2" s="386"/>
      <c r="O2" s="385"/>
      <c r="R2" s="385"/>
      <c r="U2" s="385"/>
      <c r="X2" s="385"/>
    </row>
    <row r="3" spans="1:24" x14ac:dyDescent="0.3">
      <c r="A3" s="383"/>
      <c r="B3" s="384"/>
      <c r="C3" s="392"/>
      <c r="D3" s="385"/>
      <c r="E3" s="386"/>
      <c r="F3" s="385"/>
      <c r="G3" s="385"/>
      <c r="H3" s="386"/>
      <c r="I3" s="385"/>
      <c r="J3" s="385"/>
      <c r="K3" s="386"/>
      <c r="L3" s="385"/>
      <c r="M3" s="385"/>
      <c r="N3" s="386"/>
      <c r="O3" s="385"/>
      <c r="R3" s="385"/>
      <c r="U3" s="385"/>
      <c r="X3" s="385"/>
    </row>
    <row r="4" spans="1:24" ht="14.5" thickBot="1" x14ac:dyDescent="0.35">
      <c r="A4" s="383"/>
      <c r="B4" s="383"/>
      <c r="C4" s="392"/>
      <c r="D4" s="385"/>
      <c r="E4" s="386"/>
      <c r="F4" s="385"/>
      <c r="G4" s="385"/>
      <c r="H4" s="386"/>
      <c r="I4" s="385"/>
      <c r="J4" s="385"/>
      <c r="K4" s="386"/>
      <c r="L4" s="385"/>
      <c r="M4" s="385"/>
      <c r="N4" s="386"/>
      <c r="O4" s="385"/>
      <c r="R4" s="385"/>
      <c r="U4" s="385"/>
      <c r="X4" s="385"/>
    </row>
    <row r="5" spans="1:24" x14ac:dyDescent="0.3">
      <c r="B5" s="348" t="s">
        <v>607</v>
      </c>
      <c r="C5" s="495"/>
    </row>
    <row r="6" spans="1:24" x14ac:dyDescent="0.3">
      <c r="B6" s="496" t="s">
        <v>605</v>
      </c>
      <c r="C6" s="497" t="s">
        <v>606</v>
      </c>
    </row>
    <row r="7" spans="1:24" ht="28" x14ac:dyDescent="0.3">
      <c r="B7" s="647" t="s">
        <v>684</v>
      </c>
      <c r="C7" s="648" t="s">
        <v>685</v>
      </c>
    </row>
    <row r="8" spans="1:24" x14ac:dyDescent="0.3">
      <c r="B8" s="649" t="s">
        <v>540</v>
      </c>
      <c r="C8" s="650" t="s">
        <v>608</v>
      </c>
    </row>
    <row r="9" spans="1:24" ht="28" x14ac:dyDescent="0.3">
      <c r="B9" s="649" t="s">
        <v>725</v>
      </c>
      <c r="C9" s="650" t="s">
        <v>726</v>
      </c>
    </row>
    <row r="10" spans="1:24" x14ac:dyDescent="0.3">
      <c r="B10" s="651" t="s">
        <v>686</v>
      </c>
      <c r="C10" s="650" t="s">
        <v>687</v>
      </c>
    </row>
    <row r="11" spans="1:24" ht="28" x14ac:dyDescent="0.3">
      <c r="B11" s="651" t="s">
        <v>728</v>
      </c>
      <c r="C11" s="650" t="s">
        <v>729</v>
      </c>
    </row>
    <row r="12" spans="1:24" x14ac:dyDescent="0.3">
      <c r="B12" s="649" t="s">
        <v>609</v>
      </c>
      <c r="C12" s="650" t="s">
        <v>610</v>
      </c>
    </row>
    <row r="13" spans="1:24" x14ac:dyDescent="0.3">
      <c r="B13" s="649" t="s">
        <v>495</v>
      </c>
      <c r="C13" s="650" t="s">
        <v>611</v>
      </c>
    </row>
    <row r="14" spans="1:24" x14ac:dyDescent="0.3">
      <c r="B14" s="649" t="s">
        <v>727</v>
      </c>
      <c r="C14" s="650" t="s">
        <v>612</v>
      </c>
    </row>
    <row r="15" spans="1:24" ht="28" x14ac:dyDescent="0.3">
      <c r="B15" s="649" t="s">
        <v>587</v>
      </c>
      <c r="C15" s="650" t="s">
        <v>613</v>
      </c>
    </row>
    <row r="16" spans="1:24" x14ac:dyDescent="0.3">
      <c r="B16" s="649" t="s">
        <v>468</v>
      </c>
      <c r="C16" s="650" t="s">
        <v>614</v>
      </c>
    </row>
    <row r="17" spans="2:3" x14ac:dyDescent="0.3">
      <c r="B17" s="649" t="s">
        <v>615</v>
      </c>
      <c r="C17" s="650" t="s">
        <v>710</v>
      </c>
    </row>
    <row r="18" spans="2:3" ht="28" x14ac:dyDescent="0.3">
      <c r="B18" s="649" t="s">
        <v>616</v>
      </c>
      <c r="C18" s="650" t="s">
        <v>617</v>
      </c>
    </row>
    <row r="19" spans="2:3" ht="42" x14ac:dyDescent="0.3">
      <c r="B19" s="649" t="s">
        <v>695</v>
      </c>
      <c r="C19" s="650" t="s">
        <v>711</v>
      </c>
    </row>
    <row r="20" spans="2:3" ht="28" x14ac:dyDescent="0.3">
      <c r="B20" s="649" t="s">
        <v>618</v>
      </c>
      <c r="C20" s="650" t="s">
        <v>619</v>
      </c>
    </row>
    <row r="21" spans="2:3" x14ac:dyDescent="0.3">
      <c r="B21" s="649" t="s">
        <v>467</v>
      </c>
      <c r="C21" s="650" t="s">
        <v>620</v>
      </c>
    </row>
    <row r="22" spans="2:3" ht="28" x14ac:dyDescent="0.3">
      <c r="B22" s="649" t="s">
        <v>105</v>
      </c>
      <c r="C22" s="650" t="s">
        <v>623</v>
      </c>
    </row>
    <row r="23" spans="2:3" ht="44.5" customHeight="1" thickBot="1" x14ac:dyDescent="0.35">
      <c r="B23" s="652" t="s">
        <v>621</v>
      </c>
      <c r="C23" s="653" t="s">
        <v>622</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D1216-ED71-4980-A518-9415131E697C}">
  <dimension ref="B1:AB33"/>
  <sheetViews>
    <sheetView topLeftCell="A10" workbookViewId="0">
      <selection activeCell="G38" sqref="G38"/>
    </sheetView>
  </sheetViews>
  <sheetFormatPr defaultColWidth="8.81640625" defaultRowHeight="14" x14ac:dyDescent="0.3"/>
  <cols>
    <col min="1" max="2" width="2.81640625" style="279" customWidth="1"/>
    <col min="3" max="7" width="17.81640625" style="390" customWidth="1"/>
    <col min="8" max="8" width="17.81640625" style="391" customWidth="1"/>
    <col min="9" max="9" width="20.81640625" style="279" customWidth="1"/>
    <col min="10" max="16384" width="8.81640625" style="279"/>
  </cols>
  <sheetData>
    <row r="1" spans="2:28" x14ac:dyDescent="0.3">
      <c r="B1" s="383"/>
      <c r="C1" s="384"/>
      <c r="D1" s="384"/>
      <c r="E1" s="384"/>
      <c r="F1" s="384"/>
      <c r="G1" s="384"/>
      <c r="H1" s="385"/>
      <c r="I1" s="385"/>
      <c r="J1" s="385"/>
      <c r="K1" s="385"/>
      <c r="L1" s="386"/>
      <c r="M1" s="385"/>
      <c r="N1" s="385"/>
      <c r="O1" s="386"/>
      <c r="P1" s="385"/>
      <c r="Q1" s="385"/>
      <c r="R1" s="386"/>
      <c r="S1" s="385"/>
      <c r="V1" s="385"/>
      <c r="Y1" s="385"/>
      <c r="AB1" s="385"/>
    </row>
    <row r="2" spans="2:28" x14ac:dyDescent="0.3">
      <c r="B2" s="383"/>
      <c r="C2" s="384"/>
      <c r="D2" s="384"/>
      <c r="E2" s="384"/>
      <c r="F2" s="384"/>
      <c r="G2" s="384"/>
      <c r="H2" s="385"/>
      <c r="I2" s="385"/>
      <c r="J2" s="385"/>
      <c r="K2" s="385"/>
      <c r="L2" s="386"/>
      <c r="M2" s="385"/>
      <c r="N2" s="385"/>
      <c r="O2" s="386"/>
      <c r="P2" s="385"/>
      <c r="Q2" s="385"/>
      <c r="R2" s="386"/>
      <c r="S2" s="385"/>
      <c r="V2" s="385"/>
      <c r="Y2" s="385"/>
      <c r="AB2" s="385"/>
    </row>
    <row r="3" spans="2:28" x14ac:dyDescent="0.3">
      <c r="B3" s="383"/>
      <c r="C3" s="384"/>
      <c r="D3" s="384"/>
      <c r="E3" s="384"/>
      <c r="F3" s="384"/>
      <c r="G3" s="384"/>
      <c r="H3" s="385"/>
      <c r="I3" s="385"/>
      <c r="J3" s="385"/>
      <c r="K3" s="385"/>
      <c r="L3" s="386"/>
      <c r="M3" s="385"/>
      <c r="N3" s="385"/>
      <c r="O3" s="386"/>
      <c r="P3" s="385"/>
      <c r="Q3" s="385"/>
      <c r="R3" s="386"/>
      <c r="S3" s="385"/>
      <c r="V3" s="385"/>
      <c r="Y3" s="385"/>
      <c r="AB3" s="385"/>
    </row>
    <row r="4" spans="2:28" ht="14.5" thickBot="1" x14ac:dyDescent="0.35">
      <c r="B4" s="383"/>
      <c r="C4" s="383"/>
      <c r="D4" s="383"/>
      <c r="E4" s="383"/>
      <c r="F4" s="383"/>
      <c r="G4" s="383"/>
      <c r="H4" s="385"/>
      <c r="I4" s="385"/>
      <c r="J4" s="385"/>
      <c r="K4" s="385"/>
      <c r="L4" s="386"/>
      <c r="M4" s="385"/>
      <c r="N4" s="385"/>
      <c r="O4" s="386"/>
      <c r="P4" s="385"/>
      <c r="Q4" s="385"/>
      <c r="R4" s="386"/>
      <c r="S4" s="385"/>
      <c r="V4" s="385"/>
      <c r="Y4" s="385"/>
      <c r="AB4" s="385"/>
    </row>
    <row r="5" spans="2:28" x14ac:dyDescent="0.3">
      <c r="C5" s="348" t="s">
        <v>638</v>
      </c>
      <c r="D5" s="349"/>
      <c r="E5" s="349"/>
      <c r="F5" s="349"/>
      <c r="G5" s="349"/>
      <c r="H5" s="350"/>
    </row>
    <row r="6" spans="2:28" x14ac:dyDescent="0.3">
      <c r="C6" s="690" t="s">
        <v>137</v>
      </c>
      <c r="D6" s="689" t="s">
        <v>112</v>
      </c>
      <c r="E6" s="688" t="s">
        <v>138</v>
      </c>
      <c r="F6" s="498" t="s">
        <v>139</v>
      </c>
      <c r="G6" s="499"/>
      <c r="H6" s="500"/>
    </row>
    <row r="7" spans="2:28" x14ac:dyDescent="0.3">
      <c r="C7" s="690"/>
      <c r="D7" s="689"/>
      <c r="E7" s="688"/>
      <c r="F7" s="501" t="s">
        <v>656</v>
      </c>
      <c r="G7" s="502" t="s">
        <v>657</v>
      </c>
      <c r="H7" s="503" t="s">
        <v>658</v>
      </c>
    </row>
    <row r="8" spans="2:28" x14ac:dyDescent="0.3">
      <c r="C8" s="511" t="s">
        <v>639</v>
      </c>
      <c r="D8" s="351" t="s">
        <v>112</v>
      </c>
      <c r="E8" s="512" t="s">
        <v>154</v>
      </c>
      <c r="F8" s="504" t="s">
        <v>642</v>
      </c>
      <c r="G8" s="504" t="s">
        <v>652</v>
      </c>
      <c r="H8" s="505" t="s">
        <v>451</v>
      </c>
    </row>
    <row r="9" spans="2:28" x14ac:dyDescent="0.3">
      <c r="C9" s="511" t="s">
        <v>640</v>
      </c>
      <c r="D9" s="351"/>
      <c r="E9" s="512" t="s">
        <v>641</v>
      </c>
      <c r="F9" s="504" t="s">
        <v>643</v>
      </c>
      <c r="G9" s="504" t="s">
        <v>452</v>
      </c>
      <c r="H9" s="505" t="s">
        <v>654</v>
      </c>
    </row>
    <row r="10" spans="2:28" x14ac:dyDescent="0.3">
      <c r="C10" s="387"/>
      <c r="D10" s="351"/>
      <c r="E10" s="351"/>
      <c r="F10" s="504" t="s">
        <v>644</v>
      </c>
      <c r="G10" s="504" t="s">
        <v>653</v>
      </c>
      <c r="H10" s="505" t="s">
        <v>454</v>
      </c>
    </row>
    <row r="11" spans="2:28" x14ac:dyDescent="0.3">
      <c r="C11" s="388"/>
      <c r="D11" s="351"/>
      <c r="E11" s="351"/>
      <c r="F11" s="504" t="s">
        <v>645</v>
      </c>
      <c r="G11" s="504" t="s">
        <v>428</v>
      </c>
      <c r="H11" s="505" t="s">
        <v>655</v>
      </c>
    </row>
    <row r="12" spans="2:28" x14ac:dyDescent="0.3">
      <c r="C12" s="388"/>
      <c r="D12" s="351"/>
      <c r="E12" s="351"/>
      <c r="F12" s="504" t="s">
        <v>449</v>
      </c>
      <c r="H12" s="505" t="s">
        <v>459</v>
      </c>
    </row>
    <row r="13" spans="2:28" x14ac:dyDescent="0.3">
      <c r="C13" s="388"/>
      <c r="D13" s="351"/>
      <c r="E13" s="351"/>
      <c r="F13" s="504" t="s">
        <v>646</v>
      </c>
      <c r="H13" s="505" t="s">
        <v>732</v>
      </c>
    </row>
    <row r="14" spans="2:28" x14ac:dyDescent="0.3">
      <c r="C14" s="388"/>
      <c r="D14" s="351"/>
      <c r="E14" s="351"/>
      <c r="F14" s="504" t="s">
        <v>458</v>
      </c>
      <c r="G14" s="504"/>
      <c r="H14" s="505"/>
    </row>
    <row r="15" spans="2:28" x14ac:dyDescent="0.3">
      <c r="C15" s="388"/>
      <c r="D15" s="351"/>
      <c r="E15" s="351"/>
      <c r="F15" s="504" t="s">
        <v>647</v>
      </c>
      <c r="G15" s="504"/>
      <c r="H15" s="505"/>
    </row>
    <row r="16" spans="2:28" ht="15" customHeight="1" x14ac:dyDescent="0.3">
      <c r="C16" s="388"/>
      <c r="D16" s="351"/>
      <c r="E16" s="351"/>
      <c r="F16" s="504" t="s">
        <v>648</v>
      </c>
      <c r="G16" s="504"/>
      <c r="H16" s="505"/>
    </row>
    <row r="17" spans="3:8" x14ac:dyDescent="0.3">
      <c r="C17" s="388"/>
      <c r="D17" s="351"/>
      <c r="E17" s="351"/>
      <c r="F17" s="504" t="s">
        <v>456</v>
      </c>
      <c r="G17" s="504"/>
      <c r="H17" s="505"/>
    </row>
    <row r="18" spans="3:8" x14ac:dyDescent="0.3">
      <c r="C18" s="388"/>
      <c r="D18" s="351"/>
      <c r="E18" s="351"/>
      <c r="F18" s="504" t="s">
        <v>649</v>
      </c>
      <c r="G18" s="504"/>
      <c r="H18" s="505"/>
    </row>
    <row r="19" spans="3:8" x14ac:dyDescent="0.3">
      <c r="C19" s="388"/>
      <c r="D19" s="351"/>
      <c r="E19" s="351"/>
      <c r="F19" s="504" t="s">
        <v>446</v>
      </c>
      <c r="G19" s="504"/>
      <c r="H19" s="505"/>
    </row>
    <row r="20" spans="3:8" x14ac:dyDescent="0.3">
      <c r="C20" s="388"/>
      <c r="D20" s="351"/>
      <c r="E20" s="351"/>
      <c r="F20" s="504" t="s">
        <v>455</v>
      </c>
      <c r="G20" s="504"/>
      <c r="H20" s="505"/>
    </row>
    <row r="21" spans="3:8" x14ac:dyDescent="0.3">
      <c r="C21" s="388"/>
      <c r="D21" s="351"/>
      <c r="E21" s="351"/>
      <c r="F21" s="504" t="s">
        <v>650</v>
      </c>
      <c r="G21" s="504"/>
      <c r="H21" s="505"/>
    </row>
    <row r="22" spans="3:8" x14ac:dyDescent="0.3">
      <c r="C22" s="388"/>
      <c r="D22" s="351"/>
      <c r="E22" s="351"/>
      <c r="F22" s="504" t="s">
        <v>453</v>
      </c>
      <c r="G22" s="504"/>
      <c r="H22" s="505"/>
    </row>
    <row r="23" spans="3:8" ht="14.5" thickBot="1" x14ac:dyDescent="0.35">
      <c r="C23" s="389"/>
      <c r="D23" s="352"/>
      <c r="E23" s="352"/>
      <c r="F23" s="506" t="s">
        <v>651</v>
      </c>
      <c r="G23" s="506"/>
      <c r="H23" s="507"/>
    </row>
    <row r="25" spans="3:8" ht="14.5" thickBot="1" x14ac:dyDescent="0.35"/>
    <row r="26" spans="3:8" ht="15" customHeight="1" x14ac:dyDescent="0.3">
      <c r="C26" s="691" t="s">
        <v>664</v>
      </c>
      <c r="D26" s="685"/>
      <c r="E26" s="685"/>
      <c r="F26" s="685"/>
      <c r="G26" s="685"/>
      <c r="H26" s="686"/>
    </row>
    <row r="27" spans="3:8" ht="20.149999999999999" customHeight="1" x14ac:dyDescent="0.3">
      <c r="C27" s="682" t="s">
        <v>665</v>
      </c>
      <c r="D27" s="683"/>
      <c r="E27" s="683" t="s">
        <v>677</v>
      </c>
      <c r="F27" s="683"/>
      <c r="G27" s="508" t="s">
        <v>672</v>
      </c>
      <c r="H27" s="509"/>
    </row>
    <row r="28" spans="3:8" ht="20.149999999999999" customHeight="1" x14ac:dyDescent="0.3">
      <c r="C28" s="682" t="s">
        <v>667</v>
      </c>
      <c r="D28" s="683"/>
      <c r="E28" s="683" t="s">
        <v>681</v>
      </c>
      <c r="F28" s="683"/>
      <c r="G28" s="683" t="s">
        <v>674</v>
      </c>
      <c r="H28" s="687"/>
    </row>
    <row r="29" spans="3:8" ht="20.149999999999999" customHeight="1" x14ac:dyDescent="0.3">
      <c r="C29" s="682" t="s">
        <v>669</v>
      </c>
      <c r="D29" s="683"/>
      <c r="E29" s="683" t="s">
        <v>679</v>
      </c>
      <c r="F29" s="683"/>
      <c r="G29" s="683" t="s">
        <v>676</v>
      </c>
      <c r="H29" s="687"/>
    </row>
    <row r="30" spans="3:8" ht="20.149999999999999" customHeight="1" x14ac:dyDescent="0.3">
      <c r="C30" s="682" t="s">
        <v>501</v>
      </c>
      <c r="D30" s="683"/>
      <c r="E30" s="508" t="s">
        <v>666</v>
      </c>
      <c r="F30" s="510"/>
      <c r="G30" s="683" t="s">
        <v>678</v>
      </c>
      <c r="H30" s="687"/>
    </row>
    <row r="31" spans="3:8" ht="20.149999999999999" customHeight="1" x14ac:dyDescent="0.3">
      <c r="C31" s="682" t="s">
        <v>502</v>
      </c>
      <c r="D31" s="683"/>
      <c r="E31" s="508" t="s">
        <v>668</v>
      </c>
      <c r="F31" s="510"/>
      <c r="G31" s="683" t="s">
        <v>680</v>
      </c>
      <c r="H31" s="687"/>
    </row>
    <row r="32" spans="3:8" ht="20.149999999999999" customHeight="1" x14ac:dyDescent="0.3">
      <c r="C32" s="682" t="s">
        <v>673</v>
      </c>
      <c r="D32" s="683"/>
      <c r="E32" s="683" t="s">
        <v>670</v>
      </c>
      <c r="F32" s="683"/>
      <c r="G32" s="683" t="s">
        <v>730</v>
      </c>
      <c r="H32" s="687"/>
    </row>
    <row r="33" spans="3:8" ht="20.149999999999999" customHeight="1" thickBot="1" x14ac:dyDescent="0.35">
      <c r="C33" s="680" t="s">
        <v>675</v>
      </c>
      <c r="D33" s="681"/>
      <c r="E33" s="681" t="s">
        <v>671</v>
      </c>
      <c r="F33" s="681"/>
      <c r="G33" s="681" t="s">
        <v>682</v>
      </c>
      <c r="H33" s="684"/>
    </row>
  </sheetData>
  <mergeCells count="24">
    <mergeCell ref="E6:E7"/>
    <mergeCell ref="D6:D7"/>
    <mergeCell ref="C6:C7"/>
    <mergeCell ref="E28:F28"/>
    <mergeCell ref="E27:F27"/>
    <mergeCell ref="C28:D28"/>
    <mergeCell ref="C27:D27"/>
    <mergeCell ref="C26:D26"/>
    <mergeCell ref="E29:F29"/>
    <mergeCell ref="G33:H33"/>
    <mergeCell ref="E33:F33"/>
    <mergeCell ref="E26:F26"/>
    <mergeCell ref="G26:H26"/>
    <mergeCell ref="E32:F32"/>
    <mergeCell ref="G32:H32"/>
    <mergeCell ref="G31:H31"/>
    <mergeCell ref="G30:H30"/>
    <mergeCell ref="G29:H29"/>
    <mergeCell ref="G28:H28"/>
    <mergeCell ref="C33:D33"/>
    <mergeCell ref="C32:D32"/>
    <mergeCell ref="C31:D31"/>
    <mergeCell ref="C30:D30"/>
    <mergeCell ref="C29:D2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D232-6C41-4533-8046-35B6660DC16F}">
  <sheetPr codeName="Sheet6">
    <tabColor theme="1"/>
  </sheetPr>
  <dimension ref="A1:BF57"/>
  <sheetViews>
    <sheetView workbookViewId="0"/>
  </sheetViews>
  <sheetFormatPr defaultColWidth="9.1796875" defaultRowHeight="14" outlineLevelCol="1" x14ac:dyDescent="0.3"/>
  <cols>
    <col min="1" max="1" width="39.81640625" style="1" customWidth="1"/>
    <col min="2" max="2" width="8.54296875" style="1" bestFit="1" customWidth="1"/>
    <col min="3" max="3" width="7.81640625" style="1" customWidth="1"/>
    <col min="4" max="5" width="8.81640625" style="2" hidden="1" customWidth="1" outlineLevel="1"/>
    <col min="6" max="6" width="9.81640625" style="3" hidden="1" customWidth="1" outlineLevel="1"/>
    <col min="7" max="8" width="8.81640625" style="2" hidden="1" customWidth="1" outlineLevel="1"/>
    <col min="9" max="9" width="9.81640625" style="3" hidden="1" customWidth="1" outlineLevel="1"/>
    <col min="10" max="11" width="8.81640625" style="2" hidden="1" customWidth="1" outlineLevel="1"/>
    <col min="12" max="12" width="9.81640625" style="3" hidden="1" customWidth="1" outlineLevel="1"/>
    <col min="13" max="14" width="8.81640625" style="2" hidden="1" customWidth="1" outlineLevel="1"/>
    <col min="15" max="15" width="9.81640625" style="3" hidden="1" customWidth="1" outlineLevel="1"/>
    <col min="16" max="17" width="8.81640625" style="2" hidden="1" customWidth="1" outlineLevel="1"/>
    <col min="18" max="18" width="9.81640625" style="3" hidden="1" customWidth="1" outlineLevel="1"/>
    <col min="19" max="20" width="8.81640625" style="2" hidden="1" customWidth="1" outlineLevel="1"/>
    <col min="21" max="21" width="9.81640625" style="3" hidden="1" customWidth="1" outlineLevel="1"/>
    <col min="22" max="23" width="8.81640625" style="2" hidden="1" customWidth="1" outlineLevel="1"/>
    <col min="24" max="24" width="9.81640625" style="3" hidden="1" customWidth="1" outlineLevel="1"/>
    <col min="25" max="26" width="8.81640625" style="2" hidden="1" customWidth="1" outlineLevel="1"/>
    <col min="27" max="27" width="9.81640625" style="3" hidden="1" customWidth="1" outlineLevel="1"/>
    <col min="28" max="29" width="8.81640625" style="2" hidden="1" customWidth="1" outlineLevel="1"/>
    <col min="30" max="30" width="9.81640625" style="3" customWidth="1" collapsed="1"/>
    <col min="31" max="32" width="8.81640625" style="2" customWidth="1"/>
    <col min="33" max="33" width="9.81640625" style="3" customWidth="1"/>
    <col min="34" max="35" width="8.81640625" style="2" customWidth="1"/>
    <col min="36" max="36" width="9.81640625" style="3" customWidth="1"/>
    <col min="37" max="37" width="2.81640625" style="2" customWidth="1"/>
    <col min="38" max="42" width="9.1796875" style="1"/>
    <col min="43" max="43" width="15.81640625" style="1" bestFit="1" customWidth="1"/>
    <col min="44" max="47" width="9.1796875" style="1"/>
    <col min="48" max="48" width="9.1796875" style="1" customWidth="1"/>
    <col min="49" max="49" width="9.1796875" style="1"/>
    <col min="50" max="53" width="5.81640625" style="1" customWidth="1"/>
    <col min="54" max="16384" width="9.1796875" style="1"/>
  </cols>
  <sheetData>
    <row r="1" spans="1:58" x14ac:dyDescent="0.3">
      <c r="B1" s="11" t="s">
        <v>98</v>
      </c>
      <c r="C1" s="11" t="s">
        <v>99</v>
      </c>
    </row>
    <row r="2" spans="1:58" x14ac:dyDescent="0.3">
      <c r="B2" s="11" t="s">
        <v>100</v>
      </c>
      <c r="C2" s="11" t="s">
        <v>101</v>
      </c>
    </row>
    <row r="3" spans="1:58" x14ac:dyDescent="0.3">
      <c r="B3" s="11" t="s">
        <v>102</v>
      </c>
      <c r="C3" s="11" t="s">
        <v>103</v>
      </c>
    </row>
    <row r="4" spans="1:58" x14ac:dyDescent="0.3">
      <c r="B4" s="11" t="s">
        <v>104</v>
      </c>
      <c r="C4" s="11">
        <v>2019.1</v>
      </c>
    </row>
    <row r="5" spans="1:58" s="200" customFormat="1" ht="15" customHeight="1" x14ac:dyDescent="0.3">
      <c r="D5" s="201" t="s">
        <v>90</v>
      </c>
      <c r="E5" s="201" t="s">
        <v>91</v>
      </c>
      <c r="F5" s="202" t="s">
        <v>41</v>
      </c>
      <c r="G5" s="201" t="s">
        <v>43</v>
      </c>
      <c r="H5" s="201" t="s">
        <v>44</v>
      </c>
      <c r="I5" s="202" t="s">
        <v>40</v>
      </c>
      <c r="J5" s="201" t="s">
        <v>45</v>
      </c>
      <c r="K5" s="201" t="s">
        <v>46</v>
      </c>
      <c r="L5" s="202" t="s">
        <v>39</v>
      </c>
      <c r="M5" s="201" t="s">
        <v>47</v>
      </c>
      <c r="N5" s="201" t="s">
        <v>48</v>
      </c>
      <c r="O5" s="202" t="s">
        <v>38</v>
      </c>
      <c r="P5" s="201" t="s">
        <v>49</v>
      </c>
      <c r="Q5" s="201" t="s">
        <v>50</v>
      </c>
      <c r="R5" s="202" t="s">
        <v>37</v>
      </c>
      <c r="S5" s="201" t="s">
        <v>51</v>
      </c>
      <c r="T5" s="201" t="s">
        <v>52</v>
      </c>
      <c r="U5" s="202" t="s">
        <v>36</v>
      </c>
      <c r="V5" s="201" t="s">
        <v>53</v>
      </c>
      <c r="W5" s="201" t="s">
        <v>54</v>
      </c>
      <c r="X5" s="202" t="s">
        <v>35</v>
      </c>
      <c r="Y5" s="201" t="s">
        <v>55</v>
      </c>
      <c r="Z5" s="201" t="s">
        <v>56</v>
      </c>
      <c r="AA5" s="202" t="s">
        <v>34</v>
      </c>
      <c r="AB5" s="201" t="s">
        <v>57</v>
      </c>
      <c r="AC5" s="201" t="s">
        <v>58</v>
      </c>
      <c r="AD5" s="202" t="s">
        <v>33</v>
      </c>
      <c r="AE5" s="201" t="s">
        <v>92</v>
      </c>
      <c r="AF5" s="201" t="s">
        <v>93</v>
      </c>
      <c r="AG5" s="202" t="s">
        <v>94</v>
      </c>
      <c r="AH5" s="201" t="s">
        <v>95</v>
      </c>
      <c r="AI5" s="201" t="s">
        <v>140</v>
      </c>
      <c r="AJ5" s="202" t="s">
        <v>141</v>
      </c>
      <c r="AK5" s="201"/>
      <c r="AN5" s="204" t="s">
        <v>150</v>
      </c>
    </row>
    <row r="6" spans="1:58" s="4" customFormat="1" ht="15" customHeight="1" x14ac:dyDescent="0.3">
      <c r="A6" s="180" t="s">
        <v>527</v>
      </c>
      <c r="D6" s="5" t="str">
        <f>D$5</f>
        <v>H1 09</v>
      </c>
      <c r="E6" s="5" t="str">
        <f t="shared" ref="E6:AJ6" si="0">E$5</f>
        <v>H2 09</v>
      </c>
      <c r="F6" s="6" t="str">
        <f t="shared" si="0"/>
        <v>FY09</v>
      </c>
      <c r="G6" s="5" t="str">
        <f t="shared" si="0"/>
        <v>H1 10</v>
      </c>
      <c r="H6" s="5" t="str">
        <f t="shared" si="0"/>
        <v>H2 10</v>
      </c>
      <c r="I6" s="6" t="str">
        <f t="shared" si="0"/>
        <v>FY10</v>
      </c>
      <c r="J6" s="5" t="str">
        <f t="shared" si="0"/>
        <v>H1 11</v>
      </c>
      <c r="K6" s="5" t="str">
        <f t="shared" si="0"/>
        <v>H2 11</v>
      </c>
      <c r="L6" s="6" t="str">
        <f t="shared" si="0"/>
        <v>FY11</v>
      </c>
      <c r="M6" s="5" t="str">
        <f t="shared" si="0"/>
        <v>H1 12</v>
      </c>
      <c r="N6" s="5" t="str">
        <f t="shared" si="0"/>
        <v>H2 12</v>
      </c>
      <c r="O6" s="6" t="str">
        <f t="shared" si="0"/>
        <v>FY12</v>
      </c>
      <c r="P6" s="5" t="str">
        <f t="shared" si="0"/>
        <v>H1 13</v>
      </c>
      <c r="Q6" s="5" t="str">
        <f t="shared" si="0"/>
        <v>H2 13</v>
      </c>
      <c r="R6" s="6" t="str">
        <f t="shared" si="0"/>
        <v>FY13</v>
      </c>
      <c r="S6" s="5" t="str">
        <f t="shared" si="0"/>
        <v>H1 14</v>
      </c>
      <c r="T6" s="5" t="str">
        <f t="shared" si="0"/>
        <v>H2 14</v>
      </c>
      <c r="U6" s="6" t="str">
        <f t="shared" si="0"/>
        <v>FY14</v>
      </c>
      <c r="V6" s="5" t="str">
        <f t="shared" si="0"/>
        <v>H1 15</v>
      </c>
      <c r="W6" s="5" t="str">
        <f t="shared" si="0"/>
        <v>H2 15</v>
      </c>
      <c r="X6" s="6" t="str">
        <f t="shared" si="0"/>
        <v>FY15</v>
      </c>
      <c r="Y6" s="5" t="str">
        <f t="shared" si="0"/>
        <v>H1 16</v>
      </c>
      <c r="Z6" s="5" t="str">
        <f t="shared" si="0"/>
        <v>H2 16</v>
      </c>
      <c r="AA6" s="6" t="str">
        <f t="shared" si="0"/>
        <v>FY16</v>
      </c>
      <c r="AB6" s="5" t="str">
        <f t="shared" si="0"/>
        <v>H1 17</v>
      </c>
      <c r="AC6" s="5" t="str">
        <f t="shared" si="0"/>
        <v>H2 17</v>
      </c>
      <c r="AD6" s="6" t="str">
        <f t="shared" si="0"/>
        <v>FY17</v>
      </c>
      <c r="AE6" s="5" t="str">
        <f t="shared" si="0"/>
        <v>H1 18</v>
      </c>
      <c r="AF6" s="5" t="str">
        <f t="shared" si="0"/>
        <v>H2 18</v>
      </c>
      <c r="AG6" s="6" t="str">
        <f t="shared" si="0"/>
        <v>FY18</v>
      </c>
      <c r="AH6" s="5" t="str">
        <f t="shared" si="0"/>
        <v>H1 19</v>
      </c>
      <c r="AI6" s="5" t="str">
        <f t="shared" si="0"/>
        <v>H2 19</v>
      </c>
      <c r="AJ6" s="6" t="str">
        <f t="shared" si="0"/>
        <v>FY19</v>
      </c>
      <c r="AK6" s="5"/>
      <c r="AM6" s="4" t="s">
        <v>534</v>
      </c>
      <c r="AN6" s="4" t="s">
        <v>535</v>
      </c>
      <c r="AO6" s="4" t="s">
        <v>536</v>
      </c>
      <c r="AV6" s="180" t="s">
        <v>537</v>
      </c>
      <c r="BC6" s="205" t="s">
        <v>538</v>
      </c>
    </row>
    <row r="7" spans="1:58" s="138" customFormat="1" ht="14.5" thickBot="1" x14ac:dyDescent="0.35">
      <c r="A7" s="181" t="s">
        <v>471</v>
      </c>
      <c r="B7" s="136"/>
      <c r="C7" s="136"/>
      <c r="D7" s="136"/>
      <c r="E7" s="136"/>
      <c r="F7" s="137"/>
      <c r="G7" s="136"/>
      <c r="H7" s="136"/>
      <c r="I7" s="137"/>
      <c r="J7" s="136"/>
      <c r="K7" s="136"/>
      <c r="L7" s="137"/>
      <c r="M7" s="136"/>
      <c r="N7" s="136"/>
      <c r="O7" s="137"/>
      <c r="P7" s="136"/>
      <c r="Q7" s="136"/>
      <c r="R7" s="137"/>
      <c r="S7" s="136"/>
      <c r="T7" s="136"/>
      <c r="U7" s="137"/>
      <c r="V7" s="136"/>
      <c r="W7" s="136"/>
      <c r="X7" s="137"/>
      <c r="Y7" s="136"/>
      <c r="Z7" s="136"/>
      <c r="AA7" s="137"/>
      <c r="AB7" s="136"/>
      <c r="AC7" s="136"/>
      <c r="AD7" s="137"/>
      <c r="AE7" s="136"/>
      <c r="AF7" s="136"/>
      <c r="AG7" s="137"/>
      <c r="AH7" s="136"/>
      <c r="AI7" s="136"/>
      <c r="AJ7" s="137"/>
      <c r="AK7" s="136"/>
      <c r="AQ7" s="138" t="s">
        <v>539</v>
      </c>
      <c r="AR7" s="138" t="s">
        <v>534</v>
      </c>
      <c r="AS7" s="138" t="s">
        <v>535</v>
      </c>
      <c r="AT7" s="138" t="s">
        <v>536</v>
      </c>
      <c r="AV7" s="141"/>
      <c r="AW7" s="141"/>
      <c r="AX7" s="141" t="s">
        <v>33</v>
      </c>
      <c r="AY7" s="141" t="s">
        <v>94</v>
      </c>
      <c r="AZ7" s="141" t="s">
        <v>141</v>
      </c>
      <c r="BA7" s="141" t="str">
        <f>$AN$5</f>
        <v>FY22</v>
      </c>
      <c r="BC7" s="155"/>
      <c r="BD7" s="155"/>
      <c r="BE7" s="155"/>
      <c r="BF7" s="155"/>
    </row>
    <row r="8" spans="1:58" s="21" customFormat="1" x14ac:dyDescent="0.3">
      <c r="A8" s="14" t="s">
        <v>473</v>
      </c>
      <c r="F8" s="48">
        <v>135</v>
      </c>
      <c r="I8" s="48">
        <v>129</v>
      </c>
      <c r="L8" s="48">
        <v>182</v>
      </c>
      <c r="O8" s="48">
        <v>210</v>
      </c>
      <c r="R8" s="48">
        <v>179.5</v>
      </c>
      <c r="U8" s="48">
        <v>137.5</v>
      </c>
      <c r="V8" s="21">
        <v>71.8</v>
      </c>
      <c r="W8" s="21">
        <v>66.899999999999991</v>
      </c>
      <c r="X8" s="48">
        <v>138.69999999999999</v>
      </c>
      <c r="Y8" s="21">
        <v>63.7</v>
      </c>
      <c r="Z8" s="21">
        <f>AA8-Y8</f>
        <v>69.899999999999991</v>
      </c>
      <c r="AA8" s="48">
        <v>133.6</v>
      </c>
      <c r="AB8" s="21">
        <v>87.2</v>
      </c>
      <c r="AC8" s="21">
        <f>AD8-AB8</f>
        <v>93.499999999999986</v>
      </c>
      <c r="AD8" s="229">
        <f>Database!AB16</f>
        <v>180.7</v>
      </c>
      <c r="AE8" s="21">
        <f>Database!AC16</f>
        <v>99.8</v>
      </c>
      <c r="AF8" s="21">
        <f>Database!AD16</f>
        <v>99.6</v>
      </c>
      <c r="AG8" s="229">
        <f>Database!AE16</f>
        <v>199.4</v>
      </c>
      <c r="AH8" s="22">
        <f>Database!AF16</f>
        <v>101.5</v>
      </c>
      <c r="AI8" s="22">
        <f>Database!AG16</f>
        <v>97</v>
      </c>
      <c r="AJ8" s="229">
        <f>Database!AH16</f>
        <v>198.5</v>
      </c>
      <c r="AK8" s="22"/>
      <c r="AM8" s="162">
        <f t="shared" ref="AM8:AO11" si="1">$AD8*(1+AR8)^5</f>
        <v>219.84917946368006</v>
      </c>
      <c r="AN8" s="163">
        <f t="shared" si="1"/>
        <v>247.57466007920334</v>
      </c>
      <c r="AO8" s="164">
        <f t="shared" si="1"/>
        <v>278.02934865043005</v>
      </c>
      <c r="AQ8" s="144" t="s">
        <v>473</v>
      </c>
      <c r="AR8" s="145">
        <v>0.04</v>
      </c>
      <c r="AS8" s="145">
        <v>6.5000000000000002E-2</v>
      </c>
      <c r="AT8" s="145">
        <v>0.09</v>
      </c>
      <c r="AV8" s="21" t="s">
        <v>473</v>
      </c>
      <c r="AW8" s="134" t="s">
        <v>534</v>
      </c>
      <c r="AX8" s="255">
        <f>AD16</f>
        <v>62.8</v>
      </c>
      <c r="AY8" s="255">
        <f>AG16</f>
        <v>69.099999999999994</v>
      </c>
      <c r="AZ8" s="255">
        <f>AJ16</f>
        <v>66.400000000000006</v>
      </c>
      <c r="BA8" s="255">
        <f>AM16</f>
        <v>74.748721017651221</v>
      </c>
      <c r="BB8" s="148"/>
      <c r="BC8" s="156"/>
      <c r="BD8" s="156"/>
      <c r="BE8" s="156"/>
      <c r="BF8" s="156"/>
    </row>
    <row r="9" spans="1:58" s="21" customFormat="1" x14ac:dyDescent="0.3">
      <c r="A9" s="14" t="s">
        <v>112</v>
      </c>
      <c r="D9" s="22"/>
      <c r="E9" s="22"/>
      <c r="F9" s="50">
        <v>88</v>
      </c>
      <c r="G9" s="22"/>
      <c r="H9" s="22"/>
      <c r="I9" s="50">
        <v>80</v>
      </c>
      <c r="J9" s="22"/>
      <c r="K9" s="22"/>
      <c r="L9" s="50">
        <v>106</v>
      </c>
      <c r="M9" s="22"/>
      <c r="N9" s="22"/>
      <c r="O9" s="50">
        <v>136</v>
      </c>
      <c r="P9" s="22"/>
      <c r="Q9" s="22"/>
      <c r="R9" s="50">
        <v>150.4</v>
      </c>
      <c r="S9" s="22"/>
      <c r="T9" s="22"/>
      <c r="U9" s="50">
        <v>163.69999999999999</v>
      </c>
      <c r="V9" s="22">
        <v>83.2</v>
      </c>
      <c r="W9" s="22">
        <v>74.600000000000009</v>
      </c>
      <c r="X9" s="50">
        <v>157.80000000000001</v>
      </c>
      <c r="Y9" s="22">
        <v>84.6</v>
      </c>
      <c r="Z9" s="22">
        <f>AA9-Y9</f>
        <v>90.5</v>
      </c>
      <c r="AA9" s="50">
        <v>175.1</v>
      </c>
      <c r="AB9" s="22">
        <v>110.7</v>
      </c>
      <c r="AC9" s="22">
        <f>AD9-AB9</f>
        <v>119.60000000000001</v>
      </c>
      <c r="AD9" s="245">
        <f>Database!AB20</f>
        <v>230.3</v>
      </c>
      <c r="AE9" s="22">
        <f>Database!AC20</f>
        <v>134.80000000000001</v>
      </c>
      <c r="AF9" s="22">
        <f>Database!AD20</f>
        <v>141.19999999999999</v>
      </c>
      <c r="AG9" s="245">
        <f>Database!AE20</f>
        <v>276</v>
      </c>
      <c r="AH9" s="22">
        <f>Database!AF20</f>
        <v>153.69999999999999</v>
      </c>
      <c r="AI9" s="22">
        <f>Database!AG20</f>
        <v>146.1</v>
      </c>
      <c r="AJ9" s="245">
        <f>Database!AH20</f>
        <v>299.8</v>
      </c>
      <c r="AK9" s="22"/>
      <c r="AM9" s="165">
        <f t="shared" si="1"/>
        <v>370.90045300000014</v>
      </c>
      <c r="AN9" s="21">
        <f t="shared" si="1"/>
        <v>424.31282179278975</v>
      </c>
      <c r="AO9" s="166">
        <f t="shared" si="1"/>
        <v>483.70868374527993</v>
      </c>
      <c r="AQ9" s="144" t="s">
        <v>112</v>
      </c>
      <c r="AR9" s="145">
        <v>0.1</v>
      </c>
      <c r="AS9" s="145">
        <v>0.13</v>
      </c>
      <c r="AT9" s="145">
        <v>0.16</v>
      </c>
      <c r="AW9" s="134" t="s">
        <v>535</v>
      </c>
      <c r="AX9" s="255"/>
      <c r="AY9" s="255"/>
      <c r="AZ9" s="255"/>
      <c r="BA9" s="255">
        <f>AN16-BA8</f>
        <v>14.997093261059987</v>
      </c>
      <c r="BB9" s="148"/>
      <c r="BC9" s="156"/>
      <c r="BD9" s="156">
        <v>34.999999999999993</v>
      </c>
      <c r="BE9" s="156"/>
      <c r="BF9" s="156">
        <f>+BA8+BA9</f>
        <v>89.745814278711208</v>
      </c>
    </row>
    <row r="10" spans="1:58" s="21" customFormat="1" x14ac:dyDescent="0.3">
      <c r="A10" s="14" t="s">
        <v>113</v>
      </c>
      <c r="D10" s="22">
        <v>192.63150000000002</v>
      </c>
      <c r="E10" s="22">
        <v>138.0229032</v>
      </c>
      <c r="F10" s="50">
        <v>330.65440320000005</v>
      </c>
      <c r="G10" s="22">
        <v>121.45416075000003</v>
      </c>
      <c r="H10" s="22">
        <v>122.4263151384</v>
      </c>
      <c r="I10" s="50">
        <v>243.88047588840004</v>
      </c>
      <c r="J10" s="22">
        <v>123.13022816835003</v>
      </c>
      <c r="K10" s="22">
        <v>118.56988621154041</v>
      </c>
      <c r="L10" s="50">
        <v>241.70011437989044</v>
      </c>
      <c r="M10" s="22">
        <v>116.35806561909077</v>
      </c>
      <c r="N10" s="22">
        <v>108.96572542840563</v>
      </c>
      <c r="O10" s="50">
        <v>225.3237910474964</v>
      </c>
      <c r="P10" s="22">
        <v>109.4</v>
      </c>
      <c r="Q10" s="22">
        <v>112.64331866161432</v>
      </c>
      <c r="R10" s="50">
        <v>222.04331866161431</v>
      </c>
      <c r="S10" s="22">
        <v>119.5</v>
      </c>
      <c r="T10" s="22">
        <v>126.49844685699287</v>
      </c>
      <c r="U10" s="50">
        <v>245.99844685699287</v>
      </c>
      <c r="V10" s="22">
        <v>135.1</v>
      </c>
      <c r="W10" s="22">
        <v>136.80000000000001</v>
      </c>
      <c r="X10" s="50">
        <v>271.89999999999998</v>
      </c>
      <c r="Y10" s="22">
        <v>139.4</v>
      </c>
      <c r="Z10" s="22">
        <f>AA10-Y10</f>
        <v>132.29999999999998</v>
      </c>
      <c r="AA10" s="50">
        <v>271.7</v>
      </c>
      <c r="AB10" s="22">
        <v>126.1</v>
      </c>
      <c r="AC10" s="22">
        <f>AD10-AB10</f>
        <v>126.80000000000001</v>
      </c>
      <c r="AD10" s="245">
        <f>Database!AB24</f>
        <v>252.9</v>
      </c>
      <c r="AE10" s="22">
        <f>Database!AC24</f>
        <v>127.5</v>
      </c>
      <c r="AF10" s="22">
        <f>Database!AD24</f>
        <v>130.69999999999999</v>
      </c>
      <c r="AG10" s="245">
        <f>Database!AE24</f>
        <v>258.2</v>
      </c>
      <c r="AH10" s="22">
        <f>Database!AF24</f>
        <v>131.69999999999999</v>
      </c>
      <c r="AI10" s="22">
        <f>Database!AG24</f>
        <v>132.1</v>
      </c>
      <c r="AJ10" s="245">
        <f>Database!AH24</f>
        <v>263.8</v>
      </c>
      <c r="AK10" s="22"/>
      <c r="AM10" s="165">
        <f t="shared" si="1"/>
        <v>265.80044167029001</v>
      </c>
      <c r="AN10" s="21">
        <f t="shared" si="1"/>
        <v>293.18041339046999</v>
      </c>
      <c r="AO10" s="166">
        <f t="shared" si="1"/>
        <v>322.77160715625001</v>
      </c>
      <c r="AQ10" s="144" t="s">
        <v>113</v>
      </c>
      <c r="AR10" s="145">
        <v>0.01</v>
      </c>
      <c r="AS10" s="145">
        <v>3.0000000000000002E-2</v>
      </c>
      <c r="AT10" s="145">
        <v>0.05</v>
      </c>
      <c r="AW10" s="134" t="s">
        <v>536</v>
      </c>
      <c r="AX10" s="255"/>
      <c r="AY10" s="255"/>
      <c r="AZ10" s="255"/>
      <c r="BA10" s="255">
        <f>AO16-BA9-BA8</f>
        <v>15.071250162500917</v>
      </c>
      <c r="BB10" s="148"/>
      <c r="BC10" s="156"/>
      <c r="BD10" s="156"/>
      <c r="BE10" s="156"/>
      <c r="BF10" s="156">
        <f>+BA8+BA9+BA10</f>
        <v>104.81706444121212</v>
      </c>
    </row>
    <row r="11" spans="1:58" s="27" customFormat="1" x14ac:dyDescent="0.3">
      <c r="A11" s="14" t="s">
        <v>114</v>
      </c>
      <c r="B11" s="21"/>
      <c r="C11" s="21"/>
      <c r="D11" s="26"/>
      <c r="E11" s="26"/>
      <c r="F11" s="51">
        <v>117.1</v>
      </c>
      <c r="G11" s="26"/>
      <c r="H11" s="26"/>
      <c r="I11" s="51">
        <v>104.8</v>
      </c>
      <c r="J11" s="26"/>
      <c r="K11" s="26"/>
      <c r="L11" s="51">
        <v>142.4</v>
      </c>
      <c r="M11" s="26"/>
      <c r="N11" s="26"/>
      <c r="O11" s="51">
        <v>162.69999999999999</v>
      </c>
      <c r="P11" s="26"/>
      <c r="Q11" s="26"/>
      <c r="R11" s="51">
        <v>168</v>
      </c>
      <c r="S11" s="26"/>
      <c r="T11" s="26"/>
      <c r="U11" s="50">
        <v>176.9</v>
      </c>
      <c r="V11" s="22"/>
      <c r="W11" s="22"/>
      <c r="X11" s="50">
        <v>195.8</v>
      </c>
      <c r="Y11" s="22">
        <v>109.2</v>
      </c>
      <c r="Z11" s="22">
        <f>AA11-Y11</f>
        <v>120.7</v>
      </c>
      <c r="AA11" s="50">
        <v>229.9</v>
      </c>
      <c r="AB11" s="22">
        <v>141.5</v>
      </c>
      <c r="AC11" s="22">
        <f>AD11-AB11</f>
        <v>149.19999999999999</v>
      </c>
      <c r="AD11" s="245">
        <f>Database!AB28</f>
        <v>290.7</v>
      </c>
      <c r="AE11" s="22">
        <f>Database!AC28</f>
        <v>163.69999999999999</v>
      </c>
      <c r="AF11" s="22">
        <f>Database!AD28</f>
        <v>175.5</v>
      </c>
      <c r="AG11" s="245">
        <f>Database!AE28</f>
        <v>339.2</v>
      </c>
      <c r="AH11" s="22">
        <f>Database!AF28</f>
        <v>181.1</v>
      </c>
      <c r="AI11" s="22">
        <f>Database!AG28</f>
        <v>186.5</v>
      </c>
      <c r="AJ11" s="245">
        <f>Database!AH28</f>
        <v>367.6</v>
      </c>
      <c r="AK11" s="22"/>
      <c r="AM11" s="165">
        <f t="shared" si="1"/>
        <v>389.02217540832015</v>
      </c>
      <c r="AN11" s="21">
        <f t="shared" si="1"/>
        <v>437.11299983478085</v>
      </c>
      <c r="AO11" s="166">
        <f t="shared" si="1"/>
        <v>489.84640568757015</v>
      </c>
      <c r="AQ11" s="144" t="s">
        <v>114</v>
      </c>
      <c r="AR11" s="145">
        <v>0.06</v>
      </c>
      <c r="AS11" s="145">
        <v>8.4999999999999992E-2</v>
      </c>
      <c r="AT11" s="145">
        <v>0.11</v>
      </c>
      <c r="AV11" s="21" t="s">
        <v>112</v>
      </c>
      <c r="AW11" s="134" t="s">
        <v>534</v>
      </c>
      <c r="AX11" s="255">
        <f>AD17</f>
        <v>80.5</v>
      </c>
      <c r="AY11" s="255">
        <f>AG17</f>
        <v>86</v>
      </c>
      <c r="AZ11" s="255">
        <f>AJ17</f>
        <v>91.3</v>
      </c>
      <c r="BA11" s="255">
        <f>AM17</f>
        <v>135.37866534500006</v>
      </c>
      <c r="BB11" s="149"/>
      <c r="BC11" s="157"/>
      <c r="BD11" s="157"/>
      <c r="BE11" s="157"/>
      <c r="BF11" s="157"/>
    </row>
    <row r="12" spans="1:58" s="30" customFormat="1" ht="14.5" thickBot="1" x14ac:dyDescent="0.35">
      <c r="A12" s="15" t="s">
        <v>115</v>
      </c>
      <c r="B12" s="28"/>
      <c r="C12" s="28"/>
      <c r="D12" s="29">
        <v>383.70810000000006</v>
      </c>
      <c r="E12" s="29">
        <v>287.09163319999999</v>
      </c>
      <c r="F12" s="52">
        <v>670.79973319999999</v>
      </c>
      <c r="G12" s="29">
        <v>264.77877933000008</v>
      </c>
      <c r="H12" s="29">
        <v>292.94997038399998</v>
      </c>
      <c r="I12" s="52">
        <v>557.72874971400006</v>
      </c>
      <c r="J12" s="29">
        <v>326.16007203663008</v>
      </c>
      <c r="K12" s="29">
        <v>345.89114532116639</v>
      </c>
      <c r="L12" s="52">
        <v>672.05121735779642</v>
      </c>
      <c r="M12" s="29">
        <v>373.75402233515467</v>
      </c>
      <c r="N12" s="29">
        <v>360.28978973338241</v>
      </c>
      <c r="O12" s="52">
        <v>734.04381206853714</v>
      </c>
      <c r="P12" s="29">
        <v>360.3</v>
      </c>
      <c r="Q12" s="29">
        <v>358.67445827115705</v>
      </c>
      <c r="R12" s="52">
        <v>718.97445827115712</v>
      </c>
      <c r="S12" s="29">
        <v>363.4</v>
      </c>
      <c r="T12" s="29">
        <v>361.46218168322923</v>
      </c>
      <c r="U12" s="52">
        <v>724.86218168322921</v>
      </c>
      <c r="V12" s="29">
        <v>383.9</v>
      </c>
      <c r="W12" s="29">
        <v>380.3</v>
      </c>
      <c r="X12" s="52">
        <v>764.2</v>
      </c>
      <c r="Y12" s="29">
        <v>396.9</v>
      </c>
      <c r="Z12" s="29">
        <v>413.4</v>
      </c>
      <c r="AA12" s="52">
        <v>810.3</v>
      </c>
      <c r="AB12" s="29">
        <v>465.5</v>
      </c>
      <c r="AC12" s="29">
        <v>489.1</v>
      </c>
      <c r="AD12" s="231">
        <f>Database!AB32</f>
        <v>954.60000000000014</v>
      </c>
      <c r="AE12" s="29">
        <f>Database!AC32</f>
        <v>525.79999999999995</v>
      </c>
      <c r="AF12" s="29">
        <f>Database!AD32</f>
        <v>547</v>
      </c>
      <c r="AG12" s="231">
        <f>Database!AE32</f>
        <v>1072.8</v>
      </c>
      <c r="AH12" s="29">
        <f>Database!AF32</f>
        <v>568</v>
      </c>
      <c r="AI12" s="29">
        <f>Database!AG32</f>
        <v>561.70000000000005</v>
      </c>
      <c r="AJ12" s="231">
        <f>Database!AH32</f>
        <v>1129.7</v>
      </c>
      <c r="AK12" s="221"/>
      <c r="AM12" s="167">
        <f>SUM(AM8:AM11)</f>
        <v>1245.5722495422904</v>
      </c>
      <c r="AN12" s="143">
        <f t="shared" ref="AN12:AO12" si="2">SUM(AN8:AN11)</f>
        <v>1402.1808950972438</v>
      </c>
      <c r="AO12" s="168">
        <f t="shared" si="2"/>
        <v>1574.35604523953</v>
      </c>
      <c r="AW12" s="135" t="s">
        <v>535</v>
      </c>
      <c r="AX12" s="152"/>
      <c r="AY12" s="152"/>
      <c r="AZ12" s="152"/>
      <c r="BA12" s="152">
        <f>AN17-BA11</f>
        <v>24.799424881778066</v>
      </c>
      <c r="BB12" s="150"/>
      <c r="BC12" s="158"/>
      <c r="BD12" s="158">
        <v>44.9</v>
      </c>
      <c r="BE12" s="158"/>
      <c r="BF12" s="156">
        <f>+BA11+BA12</f>
        <v>160.17809022677812</v>
      </c>
    </row>
    <row r="13" spans="1:58" s="34" customFormat="1" ht="15" thickTop="1" x14ac:dyDescent="0.35">
      <c r="A13" s="16" t="s">
        <v>109</v>
      </c>
      <c r="B13" s="31"/>
      <c r="C13" s="31"/>
      <c r="D13" s="32">
        <v>2.3767609391675881E-2</v>
      </c>
      <c r="E13" s="32">
        <v>-0.30312355098390853</v>
      </c>
      <c r="F13" s="53">
        <v>-0.14739960181461087</v>
      </c>
      <c r="G13" s="32">
        <v>-0.30994738101697605</v>
      </c>
      <c r="H13" s="32">
        <v>2.0405809527436869E-2</v>
      </c>
      <c r="I13" s="53">
        <v>-0.16856146162522045</v>
      </c>
      <c r="J13" s="32">
        <v>0.23182104269061932</v>
      </c>
      <c r="K13" s="32">
        <v>0.1807174613049829</v>
      </c>
      <c r="L13" s="53">
        <v>0.20497861676024454</v>
      </c>
      <c r="M13" s="32">
        <v>0.14592206213757342</v>
      </c>
      <c r="N13" s="32">
        <v>4.1627675663239661E-2</v>
      </c>
      <c r="O13" s="53">
        <v>9.2243854500357436E-2</v>
      </c>
      <c r="P13" s="32">
        <v>-3.5996996771020973E-2</v>
      </c>
      <c r="Q13" s="32">
        <v>-4.4834228120111952E-3</v>
      </c>
      <c r="R13" s="53">
        <v>-2.0529229386069714E-2</v>
      </c>
      <c r="S13" s="32">
        <f>S12/P12-1</f>
        <v>8.6039411601441795E-3</v>
      </c>
      <c r="T13" s="32">
        <f>T12/Q12-1</f>
        <v>7.7722942010123308E-3</v>
      </c>
      <c r="U13" s="53">
        <f>IF(ISNUMBER(U12)*ISNUMBER(R12),U12/R12-1,"na")</f>
        <v>8.1890578230410238E-3</v>
      </c>
      <c r="V13" s="32">
        <f>V12/S12-1</f>
        <v>5.6411667583929459E-2</v>
      </c>
      <c r="W13" s="32">
        <f>W12/T12-1</f>
        <v>5.2115599560231374E-2</v>
      </c>
      <c r="X13" s="53">
        <f>IF(ISNUMBER(X12)*ISNUMBER(U12),X12/U12-1,"na")</f>
        <v>5.4269376042523021E-2</v>
      </c>
      <c r="Y13" s="32">
        <f t="shared" ref="Y13:AE13" si="3">Y12/V12-1</f>
        <v>3.3862985152383507E-2</v>
      </c>
      <c r="Z13" s="32">
        <f t="shared" si="3"/>
        <v>8.7036550092032483E-2</v>
      </c>
      <c r="AA13" s="53">
        <f t="shared" si="3"/>
        <v>6.0324522376341116E-2</v>
      </c>
      <c r="AB13" s="32">
        <f t="shared" si="3"/>
        <v>0.17283950617283961</v>
      </c>
      <c r="AC13" s="32">
        <f t="shared" si="3"/>
        <v>0.18311562651185298</v>
      </c>
      <c r="AD13" s="230">
        <f t="shared" si="3"/>
        <v>0.17808219178082219</v>
      </c>
      <c r="AE13" s="24">
        <f t="shared" si="3"/>
        <v>0.12953813104189038</v>
      </c>
      <c r="AF13" s="24">
        <f>AF12/AC12-1</f>
        <v>0.11838069924350836</v>
      </c>
      <c r="AG13" s="230">
        <f>AG12/AD12-1</f>
        <v>0.12382149591451896</v>
      </c>
      <c r="AH13" s="24">
        <f t="shared" ref="AH13:AI13" si="4">AH12/AE12-1</f>
        <v>8.0258653480410835E-2</v>
      </c>
      <c r="AI13" s="24">
        <f t="shared" si="4"/>
        <v>2.6873857404021928E-2</v>
      </c>
      <c r="AJ13" s="230">
        <f>AJ12/AG12-1</f>
        <v>5.303877703206572E-2</v>
      </c>
      <c r="AK13" s="32"/>
      <c r="AM13" s="169"/>
      <c r="AO13" s="170"/>
      <c r="AW13" s="34" t="s">
        <v>536</v>
      </c>
      <c r="AX13" s="256"/>
      <c r="AY13" s="256"/>
      <c r="AZ13" s="256"/>
      <c r="BA13" s="256">
        <f>AO17-BA12-BA11</f>
        <v>24.840481305791457</v>
      </c>
      <c r="BB13" s="151"/>
      <c r="BC13" s="159"/>
      <c r="BD13" s="159"/>
      <c r="BE13" s="159"/>
      <c r="BF13" s="156">
        <f>+BA11+BA12+BA13</f>
        <v>185.01857153256958</v>
      </c>
    </row>
    <row r="14" spans="1:58" s="17" customFormat="1" x14ac:dyDescent="0.3">
      <c r="D14" s="36"/>
      <c r="E14" s="36"/>
      <c r="F14" s="54">
        <v>0</v>
      </c>
      <c r="G14" s="36"/>
      <c r="H14" s="36"/>
      <c r="I14" s="54">
        <v>0</v>
      </c>
      <c r="J14" s="36"/>
      <c r="K14" s="36"/>
      <c r="L14" s="54">
        <v>0</v>
      </c>
      <c r="M14" s="36"/>
      <c r="N14" s="36"/>
      <c r="O14" s="54">
        <v>0</v>
      </c>
      <c r="P14" s="36"/>
      <c r="Q14" s="36"/>
      <c r="R14" s="54">
        <v>0</v>
      </c>
      <c r="S14" s="36"/>
      <c r="T14" s="36"/>
      <c r="U14" s="54">
        <v>0</v>
      </c>
      <c r="V14" s="36"/>
      <c r="W14" s="36"/>
      <c r="X14" s="54">
        <v>0</v>
      </c>
      <c r="Y14" s="36"/>
      <c r="Z14" s="36"/>
      <c r="AA14" s="54">
        <v>0</v>
      </c>
      <c r="AB14" s="36"/>
      <c r="AC14" s="36"/>
      <c r="AD14" s="17">
        <v>0</v>
      </c>
      <c r="AE14" s="36"/>
      <c r="AF14" s="36"/>
      <c r="AG14" s="17">
        <v>0</v>
      </c>
      <c r="AH14" s="36"/>
      <c r="AI14" s="36"/>
      <c r="AJ14" s="17">
        <v>0</v>
      </c>
      <c r="AK14" s="36"/>
      <c r="AM14" s="171"/>
      <c r="AO14" s="172"/>
      <c r="AQ14" s="17" t="s">
        <v>540</v>
      </c>
      <c r="AR14" s="17" t="s">
        <v>534</v>
      </c>
      <c r="AS14" s="17" t="s">
        <v>535</v>
      </c>
      <c r="AT14" s="17" t="s">
        <v>536</v>
      </c>
      <c r="AV14" s="142" t="str">
        <f>AQ10</f>
        <v>UK &amp; Ireland</v>
      </c>
      <c r="AW14" s="134" t="s">
        <v>534</v>
      </c>
      <c r="AX14" s="152">
        <f>AD18</f>
        <v>41.5</v>
      </c>
      <c r="AY14" s="152">
        <f>AG18</f>
        <v>47</v>
      </c>
      <c r="AZ14" s="152">
        <f>AJ18</f>
        <v>48.9</v>
      </c>
      <c r="BA14" s="152">
        <f>AM18</f>
        <v>39.870066250543502</v>
      </c>
      <c r="BB14" s="153"/>
      <c r="BC14" s="160"/>
      <c r="BD14" s="160"/>
      <c r="BE14" s="160"/>
      <c r="BF14" s="160"/>
    </row>
    <row r="15" spans="1:58" s="138" customFormat="1" x14ac:dyDescent="0.3">
      <c r="A15" s="181" t="s">
        <v>542</v>
      </c>
      <c r="B15" s="136"/>
      <c r="C15" s="136"/>
      <c r="D15" s="136"/>
      <c r="E15" s="136"/>
      <c r="F15" s="139">
        <f t="shared" ref="F15:Q15" si="5">F20</f>
        <v>158</v>
      </c>
      <c r="G15" s="139">
        <f t="shared" si="5"/>
        <v>0</v>
      </c>
      <c r="H15" s="139">
        <f t="shared" si="5"/>
        <v>0</v>
      </c>
      <c r="I15" s="139">
        <f t="shared" si="5"/>
        <v>80.5</v>
      </c>
      <c r="J15" s="139">
        <f t="shared" si="5"/>
        <v>0</v>
      </c>
      <c r="K15" s="139">
        <f t="shared" si="5"/>
        <v>0</v>
      </c>
      <c r="L15" s="139">
        <f t="shared" si="5"/>
        <v>114.1</v>
      </c>
      <c r="M15" s="139">
        <f t="shared" si="5"/>
        <v>0</v>
      </c>
      <c r="N15" s="139">
        <f t="shared" si="5"/>
        <v>0</v>
      </c>
      <c r="O15" s="139">
        <f t="shared" si="5"/>
        <v>128.1</v>
      </c>
      <c r="P15" s="139">
        <f t="shared" si="5"/>
        <v>0</v>
      </c>
      <c r="Q15" s="139">
        <f t="shared" si="5"/>
        <v>0</v>
      </c>
      <c r="R15" s="139">
        <f>R20</f>
        <v>125.54060570773879</v>
      </c>
      <c r="S15" s="139">
        <f t="shared" ref="S15:AH15" si="6">S20</f>
        <v>9.9</v>
      </c>
      <c r="T15" s="139">
        <f t="shared" si="6"/>
        <v>16.3</v>
      </c>
      <c r="U15" s="139">
        <f t="shared" si="6"/>
        <v>140.30000000000001</v>
      </c>
      <c r="V15" s="139">
        <f t="shared" si="6"/>
        <v>46.3</v>
      </c>
      <c r="W15" s="139">
        <f t="shared" si="6"/>
        <v>49.1</v>
      </c>
      <c r="X15" s="139">
        <f t="shared" si="6"/>
        <v>164.68333333333334</v>
      </c>
      <c r="Y15" s="139">
        <f t="shared" si="6"/>
        <v>86.3</v>
      </c>
      <c r="Z15" s="139">
        <f t="shared" si="6"/>
        <v>94.7</v>
      </c>
      <c r="AA15" s="139">
        <f t="shared" si="6"/>
        <v>181</v>
      </c>
      <c r="AB15" s="139">
        <f t="shared" si="6"/>
        <v>100.10000000000001</v>
      </c>
      <c r="AC15" s="139">
        <f t="shared" si="6"/>
        <v>111.39999999999999</v>
      </c>
      <c r="AD15" s="246">
        <f t="shared" si="6"/>
        <v>211.5</v>
      </c>
      <c r="AE15" s="206">
        <f t="shared" si="6"/>
        <v>116.53000000000002</v>
      </c>
      <c r="AF15" s="206">
        <f t="shared" si="6"/>
        <v>126.89999999999998</v>
      </c>
      <c r="AG15" s="246">
        <f t="shared" si="6"/>
        <v>243.39999999999998</v>
      </c>
      <c r="AH15" s="206">
        <f t="shared" si="6"/>
        <v>124.10000000000001</v>
      </c>
      <c r="AI15" s="206">
        <f t="shared" ref="AI15:AJ15" si="7">AI20</f>
        <v>124.70000000000002</v>
      </c>
      <c r="AJ15" s="246">
        <f t="shared" si="7"/>
        <v>248.8</v>
      </c>
      <c r="AK15" s="206"/>
      <c r="AM15" s="173"/>
      <c r="AO15" s="174"/>
      <c r="AV15" s="141"/>
      <c r="AW15" s="135" t="s">
        <v>535</v>
      </c>
      <c r="AX15" s="257"/>
      <c r="AY15" s="257"/>
      <c r="AZ15" s="257"/>
      <c r="BA15" s="257">
        <f>AN18-BA14</f>
        <v>20.231918494502843</v>
      </c>
      <c r="BB15" s="154"/>
      <c r="BC15" s="161"/>
      <c r="BD15" s="161">
        <v>24.4</v>
      </c>
      <c r="BE15" s="161"/>
      <c r="BF15" s="156">
        <f>+BA14+BA15</f>
        <v>60.101984745046344</v>
      </c>
    </row>
    <row r="16" spans="1:58" s="20" customFormat="1" x14ac:dyDescent="0.3">
      <c r="A16" s="13" t="s">
        <v>473</v>
      </c>
      <c r="B16" s="13"/>
      <c r="C16" s="13"/>
      <c r="D16" s="2"/>
      <c r="E16" s="2"/>
      <c r="F16" s="3">
        <v>60</v>
      </c>
      <c r="G16" s="2"/>
      <c r="H16" s="2"/>
      <c r="I16" s="3">
        <v>49</v>
      </c>
      <c r="J16" s="2"/>
      <c r="K16" s="2"/>
      <c r="L16" s="3">
        <v>72</v>
      </c>
      <c r="M16" s="2"/>
      <c r="N16" s="2"/>
      <c r="O16" s="3">
        <v>87</v>
      </c>
      <c r="P16" s="2"/>
      <c r="Q16" s="2"/>
      <c r="R16" s="3">
        <v>63.542999999999999</v>
      </c>
      <c r="S16" s="2"/>
      <c r="T16" s="2"/>
      <c r="U16" s="3">
        <v>44.8</v>
      </c>
      <c r="V16" s="2">
        <v>22.6</v>
      </c>
      <c r="W16" s="2">
        <v>21.6</v>
      </c>
      <c r="X16" s="3">
        <v>44.2</v>
      </c>
      <c r="Y16" s="2">
        <v>20.399999999999999</v>
      </c>
      <c r="Z16" s="2">
        <v>23.6</v>
      </c>
      <c r="AA16" s="3">
        <v>44</v>
      </c>
      <c r="AB16" s="2">
        <v>30.2</v>
      </c>
      <c r="AC16" s="2">
        <v>32.599999999999994</v>
      </c>
      <c r="AD16" s="228">
        <f>Database!AB77</f>
        <v>62.8</v>
      </c>
      <c r="AE16" s="2">
        <f>Database!AC77</f>
        <v>34.130000000000003</v>
      </c>
      <c r="AF16" s="2">
        <f>Database!AD77</f>
        <v>34.999999999999993</v>
      </c>
      <c r="AG16" s="228">
        <f>Database!AE77</f>
        <v>69.099999999999994</v>
      </c>
      <c r="AH16" s="2">
        <f>Database!AF77</f>
        <v>34.1</v>
      </c>
      <c r="AI16" s="2">
        <f>Database!AG77</f>
        <v>32.299999999999997</v>
      </c>
      <c r="AJ16" s="228">
        <f>Database!AH77</f>
        <v>66.400000000000006</v>
      </c>
      <c r="AK16" s="2"/>
      <c r="AM16" s="175">
        <f t="shared" ref="AM16:AO19" si="8">AM8*AR16</f>
        <v>74.748721017651221</v>
      </c>
      <c r="AN16" s="20">
        <f t="shared" si="8"/>
        <v>89.745814278711208</v>
      </c>
      <c r="AO16" s="176">
        <f t="shared" si="8"/>
        <v>104.81706444121212</v>
      </c>
      <c r="AQ16" s="146" t="s">
        <v>473</v>
      </c>
      <c r="AR16" s="147">
        <v>0.34</v>
      </c>
      <c r="AS16" s="147">
        <v>0.36249999999999999</v>
      </c>
      <c r="AT16" s="147">
        <v>0.377</v>
      </c>
      <c r="AV16" s="140">
        <v>0</v>
      </c>
      <c r="AW16" s="34" t="s">
        <v>536</v>
      </c>
      <c r="AX16" s="152"/>
      <c r="AY16" s="152"/>
      <c r="AZ16" s="152"/>
      <c r="BA16" s="152">
        <f>AO18-BA15-BA14</f>
        <v>19.783988026125535</v>
      </c>
      <c r="BB16" s="126"/>
      <c r="BC16" s="160"/>
      <c r="BD16" s="160"/>
      <c r="BE16" s="160"/>
      <c r="BF16" s="156">
        <f>+BA14+BA15+BA16</f>
        <v>79.885972771171879</v>
      </c>
    </row>
    <row r="17" spans="1:58" s="20" customFormat="1" x14ac:dyDescent="0.3">
      <c r="A17" s="13" t="s">
        <v>112</v>
      </c>
      <c r="B17" s="13"/>
      <c r="C17" s="13"/>
      <c r="D17" s="2"/>
      <c r="E17" s="2"/>
      <c r="F17" s="3">
        <v>36</v>
      </c>
      <c r="G17" s="2"/>
      <c r="H17" s="2"/>
      <c r="I17" s="3">
        <v>26</v>
      </c>
      <c r="J17" s="2"/>
      <c r="K17" s="2"/>
      <c r="L17" s="3">
        <v>38</v>
      </c>
      <c r="M17" s="2"/>
      <c r="N17" s="2"/>
      <c r="O17" s="3">
        <v>52</v>
      </c>
      <c r="P17" s="2"/>
      <c r="Q17" s="2"/>
      <c r="R17" s="3">
        <v>58.2</v>
      </c>
      <c r="S17" s="2"/>
      <c r="T17" s="2"/>
      <c r="U17" s="3">
        <v>62</v>
      </c>
      <c r="V17" s="2"/>
      <c r="W17" s="2"/>
      <c r="X17" s="3">
        <v>59.5</v>
      </c>
      <c r="Y17" s="2">
        <v>31.3</v>
      </c>
      <c r="Z17" s="2">
        <v>31.7</v>
      </c>
      <c r="AA17" s="3">
        <v>63</v>
      </c>
      <c r="AB17" s="2">
        <v>39.474609604519785</v>
      </c>
      <c r="AC17" s="2">
        <v>41.025390395480215</v>
      </c>
      <c r="AD17" s="228">
        <f>Database!AB81</f>
        <v>80.5</v>
      </c>
      <c r="AE17" s="2">
        <f>Database!AC81</f>
        <v>41.1</v>
      </c>
      <c r="AF17" s="2">
        <f>Database!AD81</f>
        <v>44.9</v>
      </c>
      <c r="AG17" s="228">
        <f>Database!AE81</f>
        <v>86</v>
      </c>
      <c r="AH17" s="2">
        <f>Database!AF81</f>
        <v>46.7</v>
      </c>
      <c r="AI17" s="2">
        <f>Database!AG81</f>
        <v>44.6</v>
      </c>
      <c r="AJ17" s="228">
        <f>Database!AH81</f>
        <v>91.3</v>
      </c>
      <c r="AK17" s="2"/>
      <c r="AM17" s="175">
        <f t="shared" si="8"/>
        <v>135.37866534500006</v>
      </c>
      <c r="AN17" s="20">
        <f t="shared" si="8"/>
        <v>160.17809022677812</v>
      </c>
      <c r="AO17" s="176">
        <f t="shared" si="8"/>
        <v>185.01857153256958</v>
      </c>
      <c r="AQ17" s="20" t="s">
        <v>112</v>
      </c>
      <c r="AR17" s="133">
        <v>0.36499999999999999</v>
      </c>
      <c r="AS17" s="133">
        <v>0.3775</v>
      </c>
      <c r="AT17" s="133">
        <v>0.38250000000000001</v>
      </c>
      <c r="AV17" s="142" t="s">
        <v>114</v>
      </c>
      <c r="AW17" s="135" t="s">
        <v>534</v>
      </c>
      <c r="AX17" s="152">
        <f>AD19</f>
        <v>26.7</v>
      </c>
      <c r="AY17" s="152">
        <f>AG19</f>
        <v>41.3</v>
      </c>
      <c r="AZ17" s="152">
        <f>AJ19</f>
        <v>42.2</v>
      </c>
      <c r="BA17" s="152">
        <f>AM19</f>
        <v>65.161214380893625</v>
      </c>
      <c r="BB17" s="126"/>
      <c r="BC17" s="160"/>
      <c r="BD17" s="160"/>
      <c r="BE17" s="160"/>
      <c r="BF17" s="160"/>
    </row>
    <row r="18" spans="1:58" s="20" customFormat="1" x14ac:dyDescent="0.3">
      <c r="A18" s="13" t="s">
        <v>113</v>
      </c>
      <c r="B18" s="13"/>
      <c r="C18" s="13"/>
      <c r="D18" s="2">
        <v>45.615139200000009</v>
      </c>
      <c r="E18" s="2">
        <v>17.8739659644</v>
      </c>
      <c r="F18" s="3">
        <v>63.489105164400009</v>
      </c>
      <c r="G18" s="2">
        <v>6.1941621982500008</v>
      </c>
      <c r="H18" s="2">
        <v>5.2031183933820007</v>
      </c>
      <c r="I18" s="3">
        <v>11.397280591632001</v>
      </c>
      <c r="J18" s="2">
        <v>2.0685878332282805</v>
      </c>
      <c r="K18" s="2">
        <v>1.5414085207500252</v>
      </c>
      <c r="L18" s="3">
        <v>3.609996353978306</v>
      </c>
      <c r="M18" s="2">
        <v>-3.1416677717154506</v>
      </c>
      <c r="N18" s="2">
        <v>-3.3779374882805748</v>
      </c>
      <c r="O18" s="3">
        <v>-6.519605259996025</v>
      </c>
      <c r="P18" s="2">
        <v>0.54700000000000004</v>
      </c>
      <c r="Q18" s="2">
        <v>5.0689493397726437</v>
      </c>
      <c r="R18" s="3">
        <v>5.6159493397726434</v>
      </c>
      <c r="S18" s="2">
        <v>9.9</v>
      </c>
      <c r="T18" s="2">
        <v>16.3</v>
      </c>
      <c r="U18" s="3">
        <v>26.200000000000003</v>
      </c>
      <c r="V18" s="2">
        <v>21.1</v>
      </c>
      <c r="W18" s="2">
        <v>24.6</v>
      </c>
      <c r="X18" s="3">
        <v>45.7</v>
      </c>
      <c r="Y18" s="2">
        <v>25.3</v>
      </c>
      <c r="Z18" s="2">
        <v>26.8</v>
      </c>
      <c r="AA18" s="3">
        <v>52.1</v>
      </c>
      <c r="AB18" s="2">
        <v>18.2</v>
      </c>
      <c r="AC18" s="2">
        <v>23.3</v>
      </c>
      <c r="AD18" s="228">
        <f>Database!AB85</f>
        <v>41.5</v>
      </c>
      <c r="AE18" s="2">
        <f>Database!AC85</f>
        <v>22.6</v>
      </c>
      <c r="AF18" s="2">
        <f>Database!AD85</f>
        <v>24.4</v>
      </c>
      <c r="AG18" s="228">
        <f>Database!AE85</f>
        <v>47</v>
      </c>
      <c r="AH18" s="2">
        <f>Database!AF85</f>
        <v>24</v>
      </c>
      <c r="AI18" s="2">
        <f>Database!AG85</f>
        <v>24.9</v>
      </c>
      <c r="AJ18" s="228">
        <f>Database!AH85</f>
        <v>48.9</v>
      </c>
      <c r="AK18" s="2"/>
      <c r="AM18" s="175">
        <f t="shared" si="8"/>
        <v>39.870066250543502</v>
      </c>
      <c r="AN18" s="20">
        <f t="shared" si="8"/>
        <v>60.101984745046344</v>
      </c>
      <c r="AO18" s="176">
        <f t="shared" si="8"/>
        <v>79.885972771171879</v>
      </c>
      <c r="AQ18" s="20" t="s">
        <v>113</v>
      </c>
      <c r="AR18" s="133">
        <v>0.15</v>
      </c>
      <c r="AS18" s="133">
        <v>0.20499999999999999</v>
      </c>
      <c r="AT18" s="133">
        <v>0.2475</v>
      </c>
      <c r="AV18" s="140">
        <v>0</v>
      </c>
      <c r="AW18" s="135" t="s">
        <v>535</v>
      </c>
      <c r="AX18" s="152"/>
      <c r="AY18" s="152"/>
      <c r="AZ18" s="152"/>
      <c r="BA18" s="152">
        <f>AN19-BA17</f>
        <v>14.611908088953882</v>
      </c>
      <c r="BB18" s="126"/>
      <c r="BC18" s="160"/>
      <c r="BD18" s="160">
        <v>22.799999999999997</v>
      </c>
      <c r="BE18" s="160"/>
      <c r="BF18" s="156">
        <f>+BA17+BA18</f>
        <v>79.773122469847507</v>
      </c>
    </row>
    <row r="19" spans="1:58" s="20" customFormat="1" x14ac:dyDescent="0.3">
      <c r="A19" s="13" t="s">
        <v>114</v>
      </c>
      <c r="B19" s="13"/>
      <c r="C19" s="13"/>
      <c r="D19" s="2"/>
      <c r="E19" s="2"/>
      <c r="F19" s="3">
        <v>-1.5</v>
      </c>
      <c r="G19" s="2"/>
      <c r="H19" s="2"/>
      <c r="I19" s="3">
        <v>-5.9000000000000057</v>
      </c>
      <c r="J19" s="2"/>
      <c r="K19" s="2"/>
      <c r="L19" s="3">
        <v>0.5</v>
      </c>
      <c r="M19" s="2"/>
      <c r="N19" s="2"/>
      <c r="O19" s="3">
        <v>-4.4000000000000057</v>
      </c>
      <c r="P19" s="2"/>
      <c r="Q19" s="2"/>
      <c r="R19" s="3">
        <v>-1.8183436320338373</v>
      </c>
      <c r="S19" s="2">
        <v>0</v>
      </c>
      <c r="T19" s="2">
        <v>0</v>
      </c>
      <c r="U19" s="3">
        <v>7.3000000000000114</v>
      </c>
      <c r="V19" s="2">
        <v>2.5999999999999979</v>
      </c>
      <c r="W19" s="2">
        <v>2.8999999999999986</v>
      </c>
      <c r="X19" s="3">
        <v>15.283333333333331</v>
      </c>
      <c r="Y19" s="2">
        <v>9.2999999999999972</v>
      </c>
      <c r="Z19" s="2">
        <v>12.600000000000005</v>
      </c>
      <c r="AA19" s="3">
        <v>21.900000000000002</v>
      </c>
      <c r="AB19" s="2">
        <v>12.225390395480218</v>
      </c>
      <c r="AC19" s="2">
        <v>14.474609604519781</v>
      </c>
      <c r="AD19" s="228">
        <f>Database!AB89</f>
        <v>26.7</v>
      </c>
      <c r="AE19" s="2">
        <f>Database!AC89</f>
        <v>18.7</v>
      </c>
      <c r="AF19" s="2">
        <f>Database!AD89</f>
        <v>22.6</v>
      </c>
      <c r="AG19" s="228">
        <f>Database!AE89</f>
        <v>41.3</v>
      </c>
      <c r="AH19" s="2">
        <f>Database!AF89</f>
        <v>19.3</v>
      </c>
      <c r="AI19" s="2">
        <f>Database!AG89</f>
        <v>22.9</v>
      </c>
      <c r="AJ19" s="228">
        <f>Database!AH89</f>
        <v>42.2</v>
      </c>
      <c r="AK19" s="2"/>
      <c r="AM19" s="175">
        <f t="shared" si="8"/>
        <v>65.161214380893625</v>
      </c>
      <c r="AN19" s="20">
        <f t="shared" si="8"/>
        <v>79.773122469847507</v>
      </c>
      <c r="AO19" s="176">
        <f t="shared" si="8"/>
        <v>95.030202703388611</v>
      </c>
      <c r="AQ19" s="20" t="s">
        <v>114</v>
      </c>
      <c r="AR19" s="133">
        <v>0.16750000000000001</v>
      </c>
      <c r="AS19" s="133">
        <v>0.1825</v>
      </c>
      <c r="AT19" s="133">
        <v>0.19400000000000001</v>
      </c>
      <c r="AV19" s="142"/>
      <c r="AW19" s="135" t="s">
        <v>536</v>
      </c>
      <c r="AX19" s="152"/>
      <c r="AY19" s="152"/>
      <c r="AZ19" s="152"/>
      <c r="BA19" s="152">
        <f>AO19-BA18-BA17</f>
        <v>15.257080233541103</v>
      </c>
      <c r="BB19" s="126"/>
      <c r="BC19" s="160"/>
      <c r="BD19" s="160"/>
      <c r="BE19" s="160"/>
      <c r="BF19" s="156">
        <f>+BA17+BA18+BA19</f>
        <v>95.030202703388611</v>
      </c>
    </row>
    <row r="20" spans="1:58" s="19" customFormat="1" ht="14.5" thickBot="1" x14ac:dyDescent="0.35">
      <c r="A20" s="19" t="s">
        <v>128</v>
      </c>
      <c r="D20" s="38"/>
      <c r="E20" s="38"/>
      <c r="F20" s="56">
        <v>158</v>
      </c>
      <c r="G20" s="38"/>
      <c r="H20" s="38"/>
      <c r="I20" s="56">
        <v>80.5</v>
      </c>
      <c r="J20" s="38"/>
      <c r="K20" s="38"/>
      <c r="L20" s="56">
        <v>114.1</v>
      </c>
      <c r="M20" s="38"/>
      <c r="N20" s="38"/>
      <c r="O20" s="56">
        <v>128.1</v>
      </c>
      <c r="P20" s="38"/>
      <c r="Q20" s="38"/>
      <c r="R20" s="56">
        <f t="shared" ref="R20:AC20" si="9">SUM(R16,R17,R18,R19)</f>
        <v>125.54060570773879</v>
      </c>
      <c r="S20" s="38">
        <f t="shared" si="9"/>
        <v>9.9</v>
      </c>
      <c r="T20" s="38">
        <f t="shared" si="9"/>
        <v>16.3</v>
      </c>
      <c r="U20" s="56">
        <f t="shared" si="9"/>
        <v>140.30000000000001</v>
      </c>
      <c r="V20" s="38">
        <f t="shared" si="9"/>
        <v>46.3</v>
      </c>
      <c r="W20" s="38">
        <f t="shared" si="9"/>
        <v>49.1</v>
      </c>
      <c r="X20" s="56">
        <f t="shared" si="9"/>
        <v>164.68333333333334</v>
      </c>
      <c r="Y20" s="38">
        <f t="shared" si="9"/>
        <v>86.3</v>
      </c>
      <c r="Z20" s="38">
        <f t="shared" si="9"/>
        <v>94.7</v>
      </c>
      <c r="AA20" s="56">
        <f t="shared" si="9"/>
        <v>181</v>
      </c>
      <c r="AB20" s="38">
        <f t="shared" si="9"/>
        <v>100.10000000000001</v>
      </c>
      <c r="AC20" s="38">
        <f t="shared" si="9"/>
        <v>111.39999999999999</v>
      </c>
      <c r="AD20" s="247">
        <f>Database!AB93</f>
        <v>211.5</v>
      </c>
      <c r="AE20" s="38">
        <f>Database!AC93</f>
        <v>116.53000000000002</v>
      </c>
      <c r="AF20" s="38">
        <f>Database!AD93</f>
        <v>126.89999999999998</v>
      </c>
      <c r="AG20" s="247">
        <f>Database!AE93</f>
        <v>243.39999999999998</v>
      </c>
      <c r="AH20" s="38">
        <f>Database!AF93</f>
        <v>124.10000000000001</v>
      </c>
      <c r="AI20" s="38">
        <f>Database!AG93</f>
        <v>124.70000000000002</v>
      </c>
      <c r="AJ20" s="247">
        <f>Database!AH93</f>
        <v>248.8</v>
      </c>
      <c r="AK20" s="38"/>
      <c r="AM20" s="177">
        <f>SUM(AM16:AM19)</f>
        <v>315.15866699408843</v>
      </c>
      <c r="AN20" s="178">
        <f>SUM(AN16:AN19)</f>
        <v>389.79901172038319</v>
      </c>
      <c r="AO20" s="179">
        <f>SUM(AO16:AO19)</f>
        <v>464.75181144834215</v>
      </c>
    </row>
    <row r="21" spans="1:58" s="34" customFormat="1" ht="10" x14ac:dyDescent="0.2">
      <c r="A21" s="16" t="s">
        <v>109</v>
      </c>
      <c r="B21" s="16"/>
      <c r="C21" s="16"/>
      <c r="D21" s="33"/>
      <c r="E21" s="33"/>
      <c r="F21" s="55"/>
      <c r="G21" s="33"/>
      <c r="H21" s="33"/>
      <c r="I21" s="55"/>
      <c r="J21" s="33"/>
      <c r="K21" s="33"/>
      <c r="L21" s="55"/>
      <c r="M21" s="33"/>
      <c r="N21" s="33"/>
      <c r="O21" s="55"/>
      <c r="P21" s="33"/>
      <c r="Q21" s="33"/>
      <c r="R21" s="55"/>
      <c r="S21" s="33" t="e">
        <f>S20/P20-1</f>
        <v>#DIV/0!</v>
      </c>
      <c r="T21" s="33" t="e">
        <f t="shared" ref="T21:AH21" si="10">T20/Q20-1</f>
        <v>#DIV/0!</v>
      </c>
      <c r="U21" s="55">
        <f t="shared" si="10"/>
        <v>0.11756669652065721</v>
      </c>
      <c r="V21" s="33">
        <f t="shared" si="10"/>
        <v>3.6767676767676765</v>
      </c>
      <c r="W21" s="33">
        <f t="shared" si="10"/>
        <v>2.0122699386503067</v>
      </c>
      <c r="X21" s="55">
        <f t="shared" si="10"/>
        <v>0.17379425041577568</v>
      </c>
      <c r="Y21" s="33">
        <f t="shared" si="10"/>
        <v>0.86393088552915764</v>
      </c>
      <c r="Z21" s="33">
        <f t="shared" si="10"/>
        <v>0.92871690427698583</v>
      </c>
      <c r="AA21" s="55">
        <f t="shared" si="10"/>
        <v>9.9079040582936928E-2</v>
      </c>
      <c r="AB21" s="33">
        <f t="shared" si="10"/>
        <v>0.15990730011587506</v>
      </c>
      <c r="AC21" s="33">
        <f t="shared" si="10"/>
        <v>0.17634635691657863</v>
      </c>
      <c r="AD21" s="248">
        <f t="shared" si="10"/>
        <v>0.16850828729281764</v>
      </c>
      <c r="AE21" s="249">
        <f t="shared" si="10"/>
        <v>0.16413586413586412</v>
      </c>
      <c r="AF21" s="249">
        <f t="shared" si="10"/>
        <v>0.13913824057450608</v>
      </c>
      <c r="AG21" s="248">
        <f t="shared" si="10"/>
        <v>0.15082742316784858</v>
      </c>
      <c r="AH21" s="249">
        <f t="shared" si="10"/>
        <v>6.4961812408821595E-2</v>
      </c>
      <c r="AI21" s="249">
        <f t="shared" ref="AI21" si="11">AI20/AF20-1</f>
        <v>-1.7336485421591497E-2</v>
      </c>
      <c r="AJ21" s="248">
        <f t="shared" ref="AJ21" si="12">AJ20/AG20-1</f>
        <v>2.2185702547247388E-2</v>
      </c>
      <c r="AK21" s="33"/>
    </row>
    <row r="22" spans="1:58" s="17" customFormat="1" x14ac:dyDescent="0.3">
      <c r="D22" s="36"/>
      <c r="E22" s="36"/>
      <c r="F22" s="54">
        <v>0</v>
      </c>
      <c r="G22" s="36"/>
      <c r="H22" s="36"/>
      <c r="I22" s="54">
        <v>0</v>
      </c>
      <c r="J22" s="36"/>
      <c r="K22" s="36"/>
      <c r="L22" s="54">
        <v>0</v>
      </c>
      <c r="M22" s="36"/>
      <c r="N22" s="36"/>
      <c r="O22" s="54">
        <v>0</v>
      </c>
      <c r="P22" s="36"/>
      <c r="Q22" s="36"/>
      <c r="R22" s="54">
        <v>0</v>
      </c>
      <c r="S22" s="36"/>
      <c r="T22" s="36"/>
      <c r="U22" s="54">
        <v>0</v>
      </c>
      <c r="V22" s="36"/>
      <c r="W22" s="36"/>
      <c r="X22" s="54">
        <v>0</v>
      </c>
      <c r="Y22" s="36"/>
      <c r="Z22" s="36"/>
      <c r="AA22" s="54">
        <v>0</v>
      </c>
      <c r="AB22" s="36"/>
      <c r="AC22" s="36"/>
      <c r="AD22" s="17">
        <v>0</v>
      </c>
      <c r="AE22" s="36"/>
      <c r="AF22" s="36"/>
      <c r="AG22" s="17">
        <v>0</v>
      </c>
      <c r="AH22" s="36"/>
      <c r="AI22" s="36"/>
      <c r="AJ22" s="17">
        <v>0</v>
      </c>
      <c r="AK22" s="36"/>
    </row>
    <row r="23" spans="1:58" x14ac:dyDescent="0.3">
      <c r="F23" s="20"/>
      <c r="I23" s="20"/>
      <c r="L23" s="20"/>
      <c r="O23" s="20"/>
      <c r="R23" s="20"/>
      <c r="U23" s="20"/>
      <c r="X23" s="20"/>
      <c r="AA23" s="20"/>
      <c r="AD23" s="20"/>
      <c r="AG23" s="20"/>
      <c r="AJ23" s="20"/>
    </row>
    <row r="24" spans="1:58" x14ac:dyDescent="0.3">
      <c r="F24" s="20"/>
      <c r="I24" s="20"/>
      <c r="L24" s="20"/>
      <c r="O24" s="20"/>
      <c r="R24" s="20"/>
      <c r="U24" s="20"/>
      <c r="X24" s="20"/>
      <c r="AA24" s="20"/>
      <c r="AD24" s="20"/>
      <c r="AG24" s="20"/>
      <c r="AJ24" s="20"/>
    </row>
    <row r="25" spans="1:58" x14ac:dyDescent="0.3">
      <c r="F25" s="20"/>
      <c r="I25" s="20"/>
      <c r="L25" s="20"/>
      <c r="O25" s="20"/>
      <c r="R25" s="20"/>
      <c r="U25" s="20"/>
      <c r="X25" s="20"/>
      <c r="AA25" s="20"/>
      <c r="AD25" s="20"/>
      <c r="AG25" s="20"/>
      <c r="AJ25" s="20"/>
    </row>
    <row r="26" spans="1:58" x14ac:dyDescent="0.3">
      <c r="F26" s="20"/>
      <c r="I26" s="20"/>
      <c r="L26" s="20"/>
      <c r="O26" s="20"/>
      <c r="R26" s="20"/>
      <c r="U26" s="20"/>
      <c r="X26" s="20"/>
      <c r="AA26" s="20"/>
      <c r="AD26" s="20"/>
      <c r="AG26" s="20"/>
      <c r="AJ26" s="20"/>
    </row>
    <row r="27" spans="1:58" x14ac:dyDescent="0.3">
      <c r="F27" s="20"/>
      <c r="I27" s="20"/>
      <c r="L27" s="20"/>
      <c r="O27" s="20"/>
      <c r="R27" s="20"/>
      <c r="U27" s="20"/>
      <c r="X27" s="20"/>
      <c r="AA27" s="20"/>
      <c r="AD27" s="20"/>
      <c r="AG27" s="20"/>
      <c r="AJ27" s="20"/>
    </row>
    <row r="28" spans="1:58" x14ac:dyDescent="0.3">
      <c r="F28" s="20"/>
      <c r="I28" s="20"/>
      <c r="L28" s="20"/>
      <c r="O28" s="20"/>
      <c r="R28" s="20"/>
      <c r="U28" s="20"/>
      <c r="X28" s="20"/>
      <c r="AA28" s="20"/>
      <c r="AD28" s="20"/>
      <c r="AG28" s="20"/>
      <c r="AJ28" s="20"/>
    </row>
    <row r="29" spans="1:58" x14ac:dyDescent="0.3">
      <c r="F29" s="20"/>
      <c r="I29" s="20"/>
      <c r="L29" s="20"/>
      <c r="O29" s="20"/>
      <c r="R29" s="20"/>
      <c r="U29" s="20"/>
      <c r="X29" s="20"/>
      <c r="AA29" s="20"/>
      <c r="AD29" s="20"/>
      <c r="AG29" s="20"/>
      <c r="AJ29" s="20"/>
    </row>
    <row r="30" spans="1:58" x14ac:dyDescent="0.3">
      <c r="F30" s="20"/>
      <c r="I30" s="20"/>
      <c r="L30" s="20"/>
      <c r="O30" s="20"/>
      <c r="R30" s="20"/>
      <c r="U30" s="20"/>
      <c r="X30" s="20"/>
      <c r="AA30" s="20"/>
      <c r="AD30" s="20"/>
      <c r="AG30" s="20"/>
      <c r="AJ30" s="20"/>
    </row>
    <row r="31" spans="1:58" x14ac:dyDescent="0.3">
      <c r="F31" s="20"/>
      <c r="I31" s="20"/>
      <c r="L31" s="20"/>
      <c r="O31" s="20"/>
      <c r="R31" s="20"/>
      <c r="U31" s="20"/>
      <c r="X31" s="20"/>
      <c r="AA31" s="20"/>
      <c r="AD31" s="20"/>
      <c r="AG31" s="20"/>
      <c r="AJ31" s="20"/>
    </row>
    <row r="32" spans="1:58" x14ac:dyDescent="0.3">
      <c r="F32" s="20"/>
      <c r="I32" s="20"/>
      <c r="L32" s="20"/>
      <c r="O32" s="20"/>
      <c r="R32" s="20"/>
      <c r="U32" s="20"/>
      <c r="X32" s="20"/>
      <c r="AA32" s="20"/>
      <c r="AD32" s="20"/>
      <c r="AG32" s="20"/>
      <c r="AJ32" s="20"/>
    </row>
    <row r="33" spans="1:50" x14ac:dyDescent="0.3">
      <c r="F33" s="20"/>
      <c r="I33" s="20"/>
      <c r="L33" s="20"/>
      <c r="O33" s="20"/>
      <c r="R33" s="20"/>
      <c r="U33" s="20"/>
      <c r="X33" s="20"/>
      <c r="AA33" s="20"/>
      <c r="AD33" s="20"/>
      <c r="AG33" s="20"/>
      <c r="AJ33" s="20"/>
    </row>
    <row r="34" spans="1:50" x14ac:dyDescent="0.3">
      <c r="F34" s="20"/>
      <c r="I34" s="20"/>
      <c r="L34" s="20"/>
      <c r="O34" s="20"/>
      <c r="R34" s="20"/>
      <c r="U34" s="20"/>
      <c r="X34" s="20"/>
      <c r="AA34" s="20"/>
      <c r="AD34" s="20"/>
      <c r="AG34" s="20"/>
      <c r="AJ34" s="20"/>
    </row>
    <row r="35" spans="1:50" x14ac:dyDescent="0.3">
      <c r="F35" s="20"/>
      <c r="I35" s="20"/>
      <c r="L35" s="20"/>
      <c r="O35" s="20"/>
      <c r="R35" s="20"/>
      <c r="U35" s="20"/>
      <c r="X35" s="20"/>
      <c r="AA35" s="20"/>
      <c r="AD35" s="20"/>
      <c r="AG35" s="20"/>
      <c r="AJ35" s="20"/>
    </row>
    <row r="36" spans="1:50" x14ac:dyDescent="0.3">
      <c r="F36" s="20"/>
      <c r="I36" s="20"/>
      <c r="L36" s="20"/>
      <c r="O36" s="20"/>
      <c r="R36" s="20"/>
      <c r="U36" s="20"/>
      <c r="X36" s="20"/>
      <c r="AA36" s="20"/>
      <c r="AD36" s="20"/>
      <c r="AG36" s="20"/>
      <c r="AJ36" s="20"/>
    </row>
    <row r="37" spans="1:50" x14ac:dyDescent="0.3">
      <c r="F37" s="20"/>
      <c r="I37" s="20"/>
      <c r="L37" s="20"/>
      <c r="O37" s="20"/>
      <c r="R37" s="20"/>
      <c r="U37" s="20"/>
      <c r="X37" s="20"/>
      <c r="AA37" s="20"/>
      <c r="AD37" s="20"/>
      <c r="AG37" s="20"/>
      <c r="AJ37" s="20"/>
    </row>
    <row r="38" spans="1:50" x14ac:dyDescent="0.3">
      <c r="F38" s="20"/>
      <c r="I38" s="20"/>
      <c r="L38" s="20"/>
      <c r="O38" s="20"/>
      <c r="R38" s="20"/>
      <c r="U38" s="20"/>
      <c r="X38" s="20"/>
      <c r="AA38" s="20"/>
      <c r="AD38" s="20"/>
      <c r="AG38" s="20"/>
      <c r="AJ38" s="20"/>
    </row>
    <row r="39" spans="1:50" s="4" customFormat="1" ht="15" customHeight="1" x14ac:dyDescent="0.3">
      <c r="A39" s="180" t="s">
        <v>541</v>
      </c>
      <c r="B39" s="180"/>
      <c r="D39" s="5"/>
      <c r="E39" s="5"/>
      <c r="F39" s="6"/>
      <c r="G39" s="5"/>
      <c r="H39" s="5"/>
      <c r="I39" s="6"/>
      <c r="J39" s="5"/>
      <c r="K39" s="5"/>
      <c r="L39" s="6"/>
      <c r="M39" s="5"/>
      <c r="N39" s="5"/>
      <c r="O39" s="6"/>
      <c r="P39" s="5"/>
      <c r="Q39" s="5"/>
      <c r="R39" s="6"/>
      <c r="S39" s="5"/>
      <c r="T39" s="5"/>
      <c r="U39" s="6"/>
      <c r="V39" s="5"/>
      <c r="W39" s="5"/>
      <c r="X39" s="6"/>
      <c r="Y39" s="5"/>
      <c r="Z39" s="5"/>
      <c r="AA39" s="6"/>
      <c r="AB39" s="5"/>
      <c r="AC39" s="5"/>
      <c r="AD39" s="6" t="str">
        <f>AD6</f>
        <v>FY17</v>
      </c>
      <c r="AE39" s="5" t="str">
        <f t="shared" ref="AE39:AJ39" si="13">AE6</f>
        <v>H1 18</v>
      </c>
      <c r="AF39" s="5" t="str">
        <f t="shared" si="13"/>
        <v>H2 18</v>
      </c>
      <c r="AG39" s="6" t="str">
        <f t="shared" si="13"/>
        <v>FY18</v>
      </c>
      <c r="AH39" s="5" t="str">
        <f t="shared" si="13"/>
        <v>H1 19</v>
      </c>
      <c r="AI39" s="5" t="str">
        <f t="shared" si="13"/>
        <v>H2 19</v>
      </c>
      <c r="AJ39" s="6" t="str">
        <f t="shared" si="13"/>
        <v>FY19</v>
      </c>
      <c r="AK39" s="5"/>
      <c r="AL39" s="180" t="s">
        <v>150</v>
      </c>
    </row>
    <row r="40" spans="1:50" ht="14.5" x14ac:dyDescent="0.35">
      <c r="A40" s="181" t="s">
        <v>471</v>
      </c>
      <c r="AD40" s="228"/>
      <c r="AG40" s="228"/>
      <c r="AJ40" s="228"/>
      <c r="AN40" s="182" t="s">
        <v>543</v>
      </c>
      <c r="AP40" s="183" t="s">
        <v>544</v>
      </c>
      <c r="AQ40" s="17"/>
      <c r="AT40" s="250" t="s">
        <v>538</v>
      </c>
      <c r="AU40" s="250"/>
      <c r="AV40" s="250"/>
      <c r="AW40" s="250"/>
    </row>
    <row r="41" spans="1:50" x14ac:dyDescent="0.3">
      <c r="A41" s="14" t="s">
        <v>473</v>
      </c>
      <c r="AD41" s="228">
        <f>AD8</f>
        <v>180.7</v>
      </c>
      <c r="AE41" s="2">
        <f t="shared" ref="AE41:AG41" si="14">AE8</f>
        <v>99.8</v>
      </c>
      <c r="AF41" s="2">
        <f t="shared" si="14"/>
        <v>99.6</v>
      </c>
      <c r="AG41" s="228">
        <f t="shared" si="14"/>
        <v>199.4</v>
      </c>
      <c r="AH41" s="2">
        <f t="shared" ref="AH41:AJ41" si="15">AH8</f>
        <v>101.5</v>
      </c>
      <c r="AI41" s="2">
        <f t="shared" si="15"/>
        <v>97</v>
      </c>
      <c r="AJ41" s="228">
        <f t="shared" si="15"/>
        <v>198.5</v>
      </c>
      <c r="AL41" s="144">
        <f>AD41*(1+AP41)^5</f>
        <v>219.84917946368006</v>
      </c>
      <c r="AN41" s="14" t="s">
        <v>473</v>
      </c>
      <c r="AP41" s="184">
        <f>AQ41/1000</f>
        <v>0.04</v>
      </c>
      <c r="AQ41" s="17">
        <v>40</v>
      </c>
      <c r="AT41" s="250" t="s">
        <v>137</v>
      </c>
      <c r="AU41" s="250">
        <v>17.2</v>
      </c>
      <c r="AV41" s="251">
        <f>AD48-AU41</f>
        <v>45.599999999999994</v>
      </c>
      <c r="AW41" s="252">
        <f>AD48</f>
        <v>62.8</v>
      </c>
    </row>
    <row r="42" spans="1:50" x14ac:dyDescent="0.3">
      <c r="A42" s="14" t="s">
        <v>112</v>
      </c>
      <c r="AD42" s="228">
        <f t="shared" ref="AD42:AG45" si="16">AD9</f>
        <v>230.3</v>
      </c>
      <c r="AE42" s="2">
        <f t="shared" si="16"/>
        <v>134.80000000000001</v>
      </c>
      <c r="AF42" s="2">
        <f t="shared" si="16"/>
        <v>141.19999999999999</v>
      </c>
      <c r="AG42" s="228">
        <f t="shared" si="16"/>
        <v>276</v>
      </c>
      <c r="AH42" s="2">
        <f t="shared" ref="AH42:AJ42" si="17">AH9</f>
        <v>153.69999999999999</v>
      </c>
      <c r="AI42" s="2">
        <f t="shared" si="17"/>
        <v>146.1</v>
      </c>
      <c r="AJ42" s="228">
        <f t="shared" si="17"/>
        <v>299.8</v>
      </c>
      <c r="AL42" s="186">
        <f t="shared" ref="AL42:AL44" si="18">AD42*(1+AP42)^5</f>
        <v>370.90045300000014</v>
      </c>
      <c r="AN42" s="14" t="s">
        <v>112</v>
      </c>
      <c r="AP42" s="184">
        <f t="shared" ref="AP42:AP44" si="19">AQ42/1000</f>
        <v>0.1</v>
      </c>
      <c r="AQ42" s="17">
        <v>100</v>
      </c>
      <c r="AT42" s="250" t="s">
        <v>112</v>
      </c>
      <c r="AU42" s="250">
        <v>40</v>
      </c>
      <c r="AV42" s="251">
        <f t="shared" ref="AV42:AV44" si="20">AD49-AU42</f>
        <v>40.5</v>
      </c>
      <c r="AW42" s="252">
        <f t="shared" ref="AW42:AW44" si="21">AD49</f>
        <v>80.5</v>
      </c>
      <c r="AX42" s="253" t="s">
        <v>548</v>
      </c>
    </row>
    <row r="43" spans="1:50" x14ac:dyDescent="0.3">
      <c r="A43" s="14" t="s">
        <v>113</v>
      </c>
      <c r="AD43" s="228">
        <f t="shared" si="16"/>
        <v>252.9</v>
      </c>
      <c r="AE43" s="2">
        <f t="shared" si="16"/>
        <v>127.5</v>
      </c>
      <c r="AF43" s="2">
        <f t="shared" si="16"/>
        <v>130.69999999999999</v>
      </c>
      <c r="AG43" s="228">
        <f t="shared" si="16"/>
        <v>258.2</v>
      </c>
      <c r="AH43" s="2">
        <f t="shared" ref="AH43:AJ43" si="22">AH10</f>
        <v>131.69999999999999</v>
      </c>
      <c r="AI43" s="2">
        <f t="shared" si="22"/>
        <v>132.1</v>
      </c>
      <c r="AJ43" s="228">
        <f t="shared" si="22"/>
        <v>263.8</v>
      </c>
      <c r="AL43" s="186">
        <f t="shared" si="18"/>
        <v>265.80044167029001</v>
      </c>
      <c r="AN43" s="14" t="s">
        <v>113</v>
      </c>
      <c r="AP43" s="184">
        <f t="shared" si="19"/>
        <v>0.01</v>
      </c>
      <c r="AQ43" s="17">
        <v>10</v>
      </c>
      <c r="AT43" s="250" t="s">
        <v>138</v>
      </c>
      <c r="AU43" s="250">
        <f>AU41</f>
        <v>17.2</v>
      </c>
      <c r="AV43" s="251">
        <f t="shared" si="20"/>
        <v>24.3</v>
      </c>
      <c r="AW43" s="252">
        <f t="shared" si="21"/>
        <v>41.5</v>
      </c>
      <c r="AX43" s="253" t="s">
        <v>549</v>
      </c>
    </row>
    <row r="44" spans="1:50" x14ac:dyDescent="0.3">
      <c r="A44" s="14" t="s">
        <v>114</v>
      </c>
      <c r="AD44" s="228">
        <f t="shared" si="16"/>
        <v>290.7</v>
      </c>
      <c r="AE44" s="2">
        <f t="shared" si="16"/>
        <v>163.69999999999999</v>
      </c>
      <c r="AF44" s="2">
        <f t="shared" si="16"/>
        <v>175.5</v>
      </c>
      <c r="AG44" s="228">
        <f t="shared" si="16"/>
        <v>339.2</v>
      </c>
      <c r="AH44" s="2">
        <f t="shared" ref="AH44:AJ44" si="23">AH11</f>
        <v>181.1</v>
      </c>
      <c r="AI44" s="2">
        <f t="shared" si="23"/>
        <v>186.5</v>
      </c>
      <c r="AJ44" s="228">
        <f t="shared" si="23"/>
        <v>367.6</v>
      </c>
      <c r="AL44" s="186">
        <f t="shared" si="18"/>
        <v>389.02217540832015</v>
      </c>
      <c r="AN44" s="14" t="s">
        <v>114</v>
      </c>
      <c r="AP44" s="184">
        <f t="shared" si="19"/>
        <v>0.06</v>
      </c>
      <c r="AQ44" s="17">
        <v>60</v>
      </c>
      <c r="AT44" s="250" t="s">
        <v>139</v>
      </c>
      <c r="AU44" s="250">
        <f>AU43</f>
        <v>17.2</v>
      </c>
      <c r="AV44" s="251">
        <f t="shared" si="20"/>
        <v>9.5</v>
      </c>
      <c r="AW44" s="252">
        <f t="shared" si="21"/>
        <v>26.7</v>
      </c>
      <c r="AX44" s="250"/>
    </row>
    <row r="45" spans="1:50" ht="14.5" thickBot="1" x14ac:dyDescent="0.35">
      <c r="A45" s="15" t="s">
        <v>115</v>
      </c>
      <c r="B45" s="28"/>
      <c r="C45" s="28"/>
      <c r="D45" s="29"/>
      <c r="E45" s="29"/>
      <c r="F45" s="52"/>
      <c r="G45" s="29"/>
      <c r="H45" s="29"/>
      <c r="I45" s="52"/>
      <c r="J45" s="29"/>
      <c r="K45" s="29"/>
      <c r="L45" s="52"/>
      <c r="M45" s="29"/>
      <c r="N45" s="29"/>
      <c r="O45" s="52"/>
      <c r="P45" s="29"/>
      <c r="Q45" s="29"/>
      <c r="R45" s="52"/>
      <c r="S45" s="29"/>
      <c r="T45" s="29"/>
      <c r="U45" s="52"/>
      <c r="V45" s="29"/>
      <c r="W45" s="29"/>
      <c r="X45" s="52"/>
      <c r="Y45" s="29"/>
      <c r="Z45" s="29"/>
      <c r="AA45" s="52"/>
      <c r="AB45" s="29"/>
      <c r="AC45" s="29"/>
      <c r="AD45" s="231">
        <f t="shared" si="16"/>
        <v>954.60000000000014</v>
      </c>
      <c r="AE45" s="29">
        <f t="shared" si="16"/>
        <v>525.79999999999995</v>
      </c>
      <c r="AF45" s="29">
        <f t="shared" si="16"/>
        <v>547</v>
      </c>
      <c r="AG45" s="231">
        <f t="shared" si="16"/>
        <v>1072.8</v>
      </c>
      <c r="AH45" s="29">
        <f t="shared" ref="AH45:AJ45" si="24">AH12</f>
        <v>568</v>
      </c>
      <c r="AI45" s="29">
        <f t="shared" si="24"/>
        <v>561.70000000000005</v>
      </c>
      <c r="AJ45" s="231">
        <f t="shared" si="24"/>
        <v>1129.7</v>
      </c>
      <c r="AL45" s="143">
        <f>SUM(AL41:AL44)</f>
        <v>1245.5722495422904</v>
      </c>
      <c r="AN45" s="15" t="s">
        <v>546</v>
      </c>
      <c r="AO45" s="15"/>
      <c r="AP45" s="185">
        <f>(AL45/AD45)^(1/5)-1</f>
        <v>5.4652772732619814E-2</v>
      </c>
      <c r="AQ45" s="17"/>
      <c r="AT45" s="250"/>
      <c r="AU45" s="250"/>
      <c r="AV45" s="250"/>
      <c r="AW45" s="126"/>
      <c r="AX45" s="250"/>
    </row>
    <row r="46" spans="1:50" ht="14.5" thickTop="1" x14ac:dyDescent="0.3">
      <c r="AD46" s="228"/>
      <c r="AG46" s="228"/>
      <c r="AJ46" s="228"/>
      <c r="AL46" s="20"/>
      <c r="AQ46" s="17"/>
      <c r="AT46" s="250" t="s">
        <v>137</v>
      </c>
      <c r="AU46" s="250">
        <f>AU44</f>
        <v>17.2</v>
      </c>
      <c r="AV46" s="251">
        <f>AL48-AU46</f>
        <v>57.548721017651218</v>
      </c>
      <c r="AW46" s="252">
        <f>AL48</f>
        <v>74.748721017651221</v>
      </c>
      <c r="AX46" s="250"/>
    </row>
    <row r="47" spans="1:50" ht="14.5" x14ac:dyDescent="0.35">
      <c r="A47" s="181" t="s">
        <v>542</v>
      </c>
      <c r="AD47" s="228"/>
      <c r="AG47" s="228"/>
      <c r="AJ47" s="228"/>
      <c r="AL47" s="20"/>
      <c r="AN47" s="182" t="s">
        <v>540</v>
      </c>
      <c r="AP47" s="183" t="s">
        <v>545</v>
      </c>
      <c r="AQ47" s="17"/>
      <c r="AT47" s="250" t="s">
        <v>112</v>
      </c>
      <c r="AU47" s="250">
        <f>AU42</f>
        <v>40</v>
      </c>
      <c r="AV47" s="251">
        <f t="shared" ref="AV47:AV49" si="25">AL49-AU47</f>
        <v>95.378665345000059</v>
      </c>
      <c r="AW47" s="252">
        <f t="shared" ref="AW47:AW49" si="26">AL49</f>
        <v>135.37866534500006</v>
      </c>
      <c r="AX47" s="254" t="s">
        <v>550</v>
      </c>
    </row>
    <row r="48" spans="1:50" x14ac:dyDescent="0.3">
      <c r="A48" s="13" t="s">
        <v>473</v>
      </c>
      <c r="AD48" s="228">
        <f>AD16</f>
        <v>62.8</v>
      </c>
      <c r="AE48" s="2">
        <f t="shared" ref="AE48:AG48" si="27">AE16</f>
        <v>34.130000000000003</v>
      </c>
      <c r="AF48" s="2">
        <f t="shared" si="27"/>
        <v>34.999999999999993</v>
      </c>
      <c r="AG48" s="228">
        <f t="shared" si="27"/>
        <v>69.099999999999994</v>
      </c>
      <c r="AH48" s="2">
        <f t="shared" ref="AH48:AJ48" si="28">AH16</f>
        <v>34.1</v>
      </c>
      <c r="AI48" s="2">
        <f t="shared" si="28"/>
        <v>32.299999999999997</v>
      </c>
      <c r="AJ48" s="228">
        <f t="shared" si="28"/>
        <v>66.400000000000006</v>
      </c>
      <c r="AL48" s="20">
        <f>AL41*AP48</f>
        <v>74.748721017651221</v>
      </c>
      <c r="AN48" s="14" t="s">
        <v>473</v>
      </c>
      <c r="AP48" s="184">
        <f>AQ48/1000</f>
        <v>0.34</v>
      </c>
      <c r="AQ48" s="17">
        <v>340</v>
      </c>
      <c r="AT48" s="250" t="s">
        <v>138</v>
      </c>
      <c r="AU48" s="250">
        <f>AU46</f>
        <v>17.2</v>
      </c>
      <c r="AV48" s="251">
        <f t="shared" si="25"/>
        <v>22.670066250543503</v>
      </c>
      <c r="AW48" s="252">
        <f t="shared" si="26"/>
        <v>39.870066250543502</v>
      </c>
      <c r="AX48" s="250" t="s">
        <v>549</v>
      </c>
    </row>
    <row r="49" spans="1:50" x14ac:dyDescent="0.3">
      <c r="A49" s="13" t="s">
        <v>112</v>
      </c>
      <c r="AD49" s="228">
        <f t="shared" ref="AD49:AG52" si="29">AD17</f>
        <v>80.5</v>
      </c>
      <c r="AE49" s="2">
        <f t="shared" si="29"/>
        <v>41.1</v>
      </c>
      <c r="AF49" s="2">
        <f t="shared" si="29"/>
        <v>44.9</v>
      </c>
      <c r="AG49" s="228">
        <f t="shared" si="29"/>
        <v>86</v>
      </c>
      <c r="AH49" s="2">
        <f t="shared" ref="AH49:AJ49" si="30">AH17</f>
        <v>46.7</v>
      </c>
      <c r="AI49" s="2">
        <f t="shared" si="30"/>
        <v>44.6</v>
      </c>
      <c r="AJ49" s="228">
        <f t="shared" si="30"/>
        <v>91.3</v>
      </c>
      <c r="AL49" s="20">
        <f t="shared" ref="AL49:AL51" si="31">AL42*AP49</f>
        <v>135.37866534500006</v>
      </c>
      <c r="AN49" s="14" t="s">
        <v>112</v>
      </c>
      <c r="AP49" s="184">
        <f t="shared" ref="AP49:AP51" si="32">AQ49/1000</f>
        <v>0.36499999999999999</v>
      </c>
      <c r="AQ49" s="17">
        <v>365</v>
      </c>
      <c r="AT49" s="250" t="s">
        <v>139</v>
      </c>
      <c r="AU49" s="250">
        <f>AU48</f>
        <v>17.2</v>
      </c>
      <c r="AV49" s="251">
        <f t="shared" si="25"/>
        <v>48.155725468597794</v>
      </c>
      <c r="AW49" s="252">
        <f t="shared" si="26"/>
        <v>65.355725468597797</v>
      </c>
      <c r="AX49" s="250"/>
    </row>
    <row r="50" spans="1:50" x14ac:dyDescent="0.3">
      <c r="A50" s="13" t="s">
        <v>113</v>
      </c>
      <c r="AD50" s="228">
        <f t="shared" si="29"/>
        <v>41.5</v>
      </c>
      <c r="AE50" s="2">
        <f t="shared" si="29"/>
        <v>22.6</v>
      </c>
      <c r="AF50" s="2">
        <f t="shared" si="29"/>
        <v>24.4</v>
      </c>
      <c r="AG50" s="228">
        <f t="shared" si="29"/>
        <v>47</v>
      </c>
      <c r="AH50" s="2">
        <f t="shared" ref="AH50:AJ50" si="33">AH18</f>
        <v>24</v>
      </c>
      <c r="AI50" s="2">
        <f t="shared" si="33"/>
        <v>24.9</v>
      </c>
      <c r="AJ50" s="228">
        <f t="shared" si="33"/>
        <v>48.9</v>
      </c>
      <c r="AL50" s="20">
        <f t="shared" si="31"/>
        <v>39.870066250543502</v>
      </c>
      <c r="AN50" s="14" t="s">
        <v>113</v>
      </c>
      <c r="AP50" s="184">
        <f t="shared" si="32"/>
        <v>0.15</v>
      </c>
      <c r="AQ50" s="17">
        <v>150</v>
      </c>
    </row>
    <row r="51" spans="1:50" x14ac:dyDescent="0.3">
      <c r="A51" s="13" t="s">
        <v>114</v>
      </c>
      <c r="AD51" s="228">
        <f t="shared" si="29"/>
        <v>26.7</v>
      </c>
      <c r="AE51" s="2">
        <f t="shared" si="29"/>
        <v>18.7</v>
      </c>
      <c r="AF51" s="2">
        <f t="shared" si="29"/>
        <v>22.6</v>
      </c>
      <c r="AG51" s="228">
        <f t="shared" si="29"/>
        <v>41.3</v>
      </c>
      <c r="AH51" s="2">
        <f t="shared" ref="AH51:AJ51" si="34">AH19</f>
        <v>19.3</v>
      </c>
      <c r="AI51" s="2">
        <f t="shared" si="34"/>
        <v>22.9</v>
      </c>
      <c r="AJ51" s="228">
        <f t="shared" si="34"/>
        <v>42.2</v>
      </c>
      <c r="AL51" s="20">
        <f t="shared" si="31"/>
        <v>65.355725468597797</v>
      </c>
      <c r="AN51" s="14" t="s">
        <v>114</v>
      </c>
      <c r="AP51" s="184">
        <f t="shared" si="32"/>
        <v>0.16800000000000001</v>
      </c>
      <c r="AQ51" s="17">
        <v>168</v>
      </c>
      <c r="AT51" s="250" t="s">
        <v>522</v>
      </c>
      <c r="AU51" s="250">
        <v>50</v>
      </c>
      <c r="AV51" s="251">
        <f>AD52-AU51</f>
        <v>161.5</v>
      </c>
      <c r="AW51" s="252">
        <f>AD52</f>
        <v>211.5</v>
      </c>
      <c r="AX51" s="250" t="s">
        <v>33</v>
      </c>
    </row>
    <row r="52" spans="1:50" ht="14.5" thickBot="1" x14ac:dyDescent="0.35">
      <c r="A52" s="15" t="s">
        <v>128</v>
      </c>
      <c r="B52" s="28"/>
      <c r="C52" s="28"/>
      <c r="D52" s="29"/>
      <c r="E52" s="29"/>
      <c r="F52" s="52"/>
      <c r="G52" s="29"/>
      <c r="H52" s="29"/>
      <c r="I52" s="52"/>
      <c r="J52" s="29"/>
      <c r="K52" s="29"/>
      <c r="L52" s="52"/>
      <c r="M52" s="29"/>
      <c r="N52" s="29"/>
      <c r="O52" s="52"/>
      <c r="P52" s="29"/>
      <c r="Q52" s="29"/>
      <c r="R52" s="52"/>
      <c r="S52" s="29"/>
      <c r="T52" s="29"/>
      <c r="U52" s="52"/>
      <c r="V52" s="29"/>
      <c r="W52" s="29"/>
      <c r="X52" s="52"/>
      <c r="Y52" s="29"/>
      <c r="Z52" s="29"/>
      <c r="AA52" s="52"/>
      <c r="AB52" s="29"/>
      <c r="AC52" s="29"/>
      <c r="AD52" s="231">
        <f t="shared" si="29"/>
        <v>211.5</v>
      </c>
      <c r="AE52" s="29">
        <f t="shared" si="29"/>
        <v>116.53000000000002</v>
      </c>
      <c r="AF52" s="29">
        <f t="shared" si="29"/>
        <v>126.89999999999998</v>
      </c>
      <c r="AG52" s="231">
        <f t="shared" si="29"/>
        <v>243.39999999999998</v>
      </c>
      <c r="AH52" s="29">
        <f t="shared" ref="AH52:AJ52" si="35">AH20</f>
        <v>124.10000000000001</v>
      </c>
      <c r="AI52" s="29">
        <f t="shared" si="35"/>
        <v>124.70000000000002</v>
      </c>
      <c r="AJ52" s="231">
        <f t="shared" si="35"/>
        <v>248.8</v>
      </c>
      <c r="AL52" s="143">
        <f>SUM(AL48:AL51)</f>
        <v>315.35317808179263</v>
      </c>
      <c r="AN52" s="15" t="s">
        <v>547</v>
      </c>
      <c r="AO52" s="15"/>
      <c r="AP52" s="185">
        <f>AL52/AL45</f>
        <v>0.25317935446753509</v>
      </c>
      <c r="AT52" s="250"/>
      <c r="AU52" s="250"/>
      <c r="AV52" s="250"/>
      <c r="AW52" s="252"/>
      <c r="AX52" s="250"/>
    </row>
    <row r="53" spans="1:50" ht="14.5" thickTop="1" x14ac:dyDescent="0.3">
      <c r="AD53" s="228"/>
      <c r="AG53" s="228"/>
      <c r="AJ53" s="228"/>
      <c r="AT53" s="250" t="s">
        <v>522</v>
      </c>
      <c r="AU53" s="250">
        <f>AU51</f>
        <v>50</v>
      </c>
      <c r="AV53" s="251">
        <f>AL52-AU53</f>
        <v>265.35317808179263</v>
      </c>
      <c r="AW53" s="252">
        <f>AL52</f>
        <v>315.35317808179263</v>
      </c>
      <c r="AX53" s="250" t="s">
        <v>150</v>
      </c>
    </row>
    <row r="54" spans="1:50" x14ac:dyDescent="0.3">
      <c r="AG54" s="228"/>
    </row>
    <row r="55" spans="1:50" x14ac:dyDescent="0.3">
      <c r="A55" s="182"/>
    </row>
    <row r="57" spans="1:50" x14ac:dyDescent="0.3">
      <c r="AT57" s="182" t="s">
        <v>581</v>
      </c>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Scroll Bar 1">
              <controlPr defaultSize="0" autoPict="0">
                <anchor moveWithCells="1">
                  <from>
                    <xdr:col>42</xdr:col>
                    <xdr:colOff>88900</xdr:colOff>
                    <xdr:row>40</xdr:row>
                    <xdr:rowOff>38100</xdr:rowOff>
                  </from>
                  <to>
                    <xdr:col>44</xdr:col>
                    <xdr:colOff>228600</xdr:colOff>
                    <xdr:row>40</xdr:row>
                    <xdr:rowOff>184150</xdr:rowOff>
                  </to>
                </anchor>
              </controlPr>
            </control>
          </mc:Choice>
        </mc:AlternateContent>
        <mc:AlternateContent xmlns:mc="http://schemas.openxmlformats.org/markup-compatibility/2006">
          <mc:Choice Requires="x14">
            <control shapeId="5122" r:id="rId5" name="Scroll Bar 2">
              <controlPr defaultSize="0" autoPict="0">
                <anchor moveWithCells="1">
                  <from>
                    <xdr:col>42</xdr:col>
                    <xdr:colOff>88900</xdr:colOff>
                    <xdr:row>41</xdr:row>
                    <xdr:rowOff>25400</xdr:rowOff>
                  </from>
                  <to>
                    <xdr:col>44</xdr:col>
                    <xdr:colOff>228600</xdr:colOff>
                    <xdr:row>41</xdr:row>
                    <xdr:rowOff>152400</xdr:rowOff>
                  </to>
                </anchor>
              </controlPr>
            </control>
          </mc:Choice>
        </mc:AlternateContent>
        <mc:AlternateContent xmlns:mc="http://schemas.openxmlformats.org/markup-compatibility/2006">
          <mc:Choice Requires="x14">
            <control shapeId="5123" r:id="rId6" name="Scroll Bar 3">
              <controlPr defaultSize="0" autoPict="0">
                <anchor moveWithCells="1">
                  <from>
                    <xdr:col>42</xdr:col>
                    <xdr:colOff>88900</xdr:colOff>
                    <xdr:row>42</xdr:row>
                    <xdr:rowOff>31750</xdr:rowOff>
                  </from>
                  <to>
                    <xdr:col>44</xdr:col>
                    <xdr:colOff>228600</xdr:colOff>
                    <xdr:row>42</xdr:row>
                    <xdr:rowOff>177800</xdr:rowOff>
                  </to>
                </anchor>
              </controlPr>
            </control>
          </mc:Choice>
        </mc:AlternateContent>
        <mc:AlternateContent xmlns:mc="http://schemas.openxmlformats.org/markup-compatibility/2006">
          <mc:Choice Requires="x14">
            <control shapeId="5124" r:id="rId7" name="Scroll Bar 4">
              <controlPr defaultSize="0" autoPict="0">
                <anchor moveWithCells="1">
                  <from>
                    <xdr:col>42</xdr:col>
                    <xdr:colOff>88900</xdr:colOff>
                    <xdr:row>43</xdr:row>
                    <xdr:rowOff>38100</xdr:rowOff>
                  </from>
                  <to>
                    <xdr:col>44</xdr:col>
                    <xdr:colOff>228600</xdr:colOff>
                    <xdr:row>43</xdr:row>
                    <xdr:rowOff>184150</xdr:rowOff>
                  </to>
                </anchor>
              </controlPr>
            </control>
          </mc:Choice>
        </mc:AlternateContent>
        <mc:AlternateContent xmlns:mc="http://schemas.openxmlformats.org/markup-compatibility/2006">
          <mc:Choice Requires="x14">
            <control shapeId="5125" r:id="rId8" name="Scroll Bar 5">
              <controlPr defaultSize="0" autoPict="0">
                <anchor moveWithCells="1">
                  <from>
                    <xdr:col>42</xdr:col>
                    <xdr:colOff>88900</xdr:colOff>
                    <xdr:row>47</xdr:row>
                    <xdr:rowOff>38100</xdr:rowOff>
                  </from>
                  <to>
                    <xdr:col>44</xdr:col>
                    <xdr:colOff>228600</xdr:colOff>
                    <xdr:row>47</xdr:row>
                    <xdr:rowOff>184150</xdr:rowOff>
                  </to>
                </anchor>
              </controlPr>
            </control>
          </mc:Choice>
        </mc:AlternateContent>
        <mc:AlternateContent xmlns:mc="http://schemas.openxmlformats.org/markup-compatibility/2006">
          <mc:Choice Requires="x14">
            <control shapeId="5126" r:id="rId9" name="Scroll Bar 6">
              <controlPr defaultSize="0" autoPict="0">
                <anchor moveWithCells="1">
                  <from>
                    <xdr:col>42</xdr:col>
                    <xdr:colOff>88900</xdr:colOff>
                    <xdr:row>48</xdr:row>
                    <xdr:rowOff>69850</xdr:rowOff>
                  </from>
                  <to>
                    <xdr:col>44</xdr:col>
                    <xdr:colOff>228600</xdr:colOff>
                    <xdr:row>49</xdr:row>
                    <xdr:rowOff>25400</xdr:rowOff>
                  </to>
                </anchor>
              </controlPr>
            </control>
          </mc:Choice>
        </mc:AlternateContent>
        <mc:AlternateContent xmlns:mc="http://schemas.openxmlformats.org/markup-compatibility/2006">
          <mc:Choice Requires="x14">
            <control shapeId="5127" r:id="rId10" name="Scroll Bar 7">
              <controlPr defaultSize="0" autoPict="0">
                <anchor moveWithCells="1">
                  <from>
                    <xdr:col>42</xdr:col>
                    <xdr:colOff>88900</xdr:colOff>
                    <xdr:row>49</xdr:row>
                    <xdr:rowOff>69850</xdr:rowOff>
                  </from>
                  <to>
                    <xdr:col>44</xdr:col>
                    <xdr:colOff>228600</xdr:colOff>
                    <xdr:row>50</xdr:row>
                    <xdr:rowOff>25400</xdr:rowOff>
                  </to>
                </anchor>
              </controlPr>
            </control>
          </mc:Choice>
        </mc:AlternateContent>
        <mc:AlternateContent xmlns:mc="http://schemas.openxmlformats.org/markup-compatibility/2006">
          <mc:Choice Requires="x14">
            <control shapeId="5128" r:id="rId11" name="Scroll Bar 8">
              <controlPr defaultSize="0" autoPict="0">
                <anchor moveWithCells="1">
                  <from>
                    <xdr:col>42</xdr:col>
                    <xdr:colOff>88900</xdr:colOff>
                    <xdr:row>50</xdr:row>
                    <xdr:rowOff>69850</xdr:rowOff>
                  </from>
                  <to>
                    <xdr:col>44</xdr:col>
                    <xdr:colOff>228600</xdr:colOff>
                    <xdr:row>51</xdr:row>
                    <xdr:rowOff>25400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A94A1-0EC4-4592-8050-C996B1B8AAA2}">
  <sheetPr codeName="Sheet7">
    <tabColor theme="1"/>
  </sheetPr>
  <dimension ref="A1:AI17"/>
  <sheetViews>
    <sheetView workbookViewId="0"/>
  </sheetViews>
  <sheetFormatPr defaultColWidth="9.1796875" defaultRowHeight="14.5" outlineLevelCol="1" x14ac:dyDescent="0.35"/>
  <cols>
    <col min="1" max="1" width="39.81640625" style="1" customWidth="1"/>
    <col min="2" max="2" width="8.54296875" style="1" bestFit="1" customWidth="1"/>
    <col min="3" max="3" width="7.81640625" style="1" customWidth="1"/>
    <col min="4" max="6" width="8.81640625" style="2" hidden="1" customWidth="1" outlineLevel="1"/>
    <col min="7" max="7" width="9.81640625" style="3" hidden="1" customWidth="1" outlineLevel="1"/>
    <col min="8" max="9" width="8.81640625" style="2" hidden="1" customWidth="1" outlineLevel="1"/>
    <col min="10" max="10" width="9.81640625" style="3" hidden="1" customWidth="1" outlineLevel="1"/>
    <col min="11" max="12" width="8.81640625" style="2" hidden="1" customWidth="1" outlineLevel="1"/>
    <col min="13" max="13" width="9.81640625" customWidth="1" collapsed="1"/>
    <col min="14" max="15" width="8.81640625" customWidth="1"/>
    <col min="16" max="16" width="9.81640625" customWidth="1"/>
    <col min="17" max="19" width="8.81640625" style="2" customWidth="1"/>
    <col min="20" max="24" width="9.1796875" style="1"/>
    <col min="25" max="25" width="9.1796875" style="1" customWidth="1"/>
    <col min="26" max="26" width="9.1796875" style="1"/>
    <col min="27" max="30" width="5.81640625" style="1" customWidth="1"/>
    <col min="31" max="16384" width="9.1796875" style="1"/>
  </cols>
  <sheetData>
    <row r="1" spans="1:35" ht="14" x14ac:dyDescent="0.3">
      <c r="B1" s="11" t="s">
        <v>98</v>
      </c>
      <c r="C1" s="11" t="s">
        <v>99</v>
      </c>
      <c r="M1" s="3"/>
      <c r="N1" s="2"/>
      <c r="O1" s="2"/>
      <c r="P1" s="3"/>
      <c r="S1" s="3"/>
    </row>
    <row r="2" spans="1:35" ht="14" x14ac:dyDescent="0.3">
      <c r="B2" s="11" t="s">
        <v>100</v>
      </c>
      <c r="C2" s="11" t="s">
        <v>101</v>
      </c>
      <c r="M2" s="3"/>
      <c r="N2" s="2"/>
      <c r="O2" s="2"/>
      <c r="P2" s="3"/>
      <c r="S2" s="3"/>
    </row>
    <row r="3" spans="1:35" ht="14" x14ac:dyDescent="0.3">
      <c r="B3" s="11" t="s">
        <v>102</v>
      </c>
      <c r="C3" s="11" t="s">
        <v>103</v>
      </c>
      <c r="M3" s="3"/>
      <c r="N3" s="2"/>
      <c r="O3" s="2"/>
      <c r="P3" s="3"/>
      <c r="S3" s="3"/>
    </row>
    <row r="4" spans="1:35" thickBot="1" x14ac:dyDescent="0.35">
      <c r="B4" s="11" t="s">
        <v>104</v>
      </c>
      <c r="C4" s="11">
        <f>Database!$D$4</f>
        <v>2025.08</v>
      </c>
      <c r="M4" s="3"/>
      <c r="N4" s="2"/>
      <c r="O4" s="2"/>
      <c r="P4" s="3"/>
      <c r="S4" s="3"/>
    </row>
    <row r="5" spans="1:35" s="4" customFormat="1" ht="15" customHeight="1" x14ac:dyDescent="0.3">
      <c r="D5" s="5"/>
      <c r="E5" s="5" t="s">
        <v>53</v>
      </c>
      <c r="F5" s="5" t="s">
        <v>54</v>
      </c>
      <c r="G5" s="6" t="s">
        <v>35</v>
      </c>
      <c r="H5" s="5" t="s">
        <v>55</v>
      </c>
      <c r="I5" s="5" t="s">
        <v>56</v>
      </c>
      <c r="J5" s="6" t="s">
        <v>34</v>
      </c>
      <c r="K5" s="5" t="s">
        <v>57</v>
      </c>
      <c r="L5" s="5" t="s">
        <v>58</v>
      </c>
      <c r="M5" s="6" t="s">
        <v>33</v>
      </c>
      <c r="N5" s="5" t="s">
        <v>92</v>
      </c>
      <c r="O5" s="5" t="s">
        <v>93</v>
      </c>
      <c r="P5" s="6" t="s">
        <v>94</v>
      </c>
      <c r="Q5" s="5" t="s">
        <v>95</v>
      </c>
      <c r="R5" s="5" t="s">
        <v>140</v>
      </c>
      <c r="S5" s="6" t="s">
        <v>141</v>
      </c>
      <c r="U5" s="195" t="s">
        <v>556</v>
      </c>
      <c r="W5" s="259"/>
      <c r="X5" s="270" t="s">
        <v>150</v>
      </c>
      <c r="Y5" s="260"/>
    </row>
    <row r="6" spans="1:35" s="7" customFormat="1" ht="15" customHeight="1" x14ac:dyDescent="0.3">
      <c r="A6" s="10" t="s">
        <v>527</v>
      </c>
      <c r="D6" s="8"/>
      <c r="E6" s="8" t="str">
        <f t="shared" ref="E6:S6" si="0">E$5</f>
        <v>H1 15</v>
      </c>
      <c r="F6" s="8" t="str">
        <f t="shared" si="0"/>
        <v>H2 15</v>
      </c>
      <c r="G6" s="9" t="str">
        <f t="shared" si="0"/>
        <v>FY15</v>
      </c>
      <c r="H6" s="8" t="str">
        <f t="shared" si="0"/>
        <v>H1 16</v>
      </c>
      <c r="I6" s="8" t="str">
        <f t="shared" si="0"/>
        <v>H2 16</v>
      </c>
      <c r="J6" s="9" t="str">
        <f t="shared" si="0"/>
        <v>FY16</v>
      </c>
      <c r="K6" s="8" t="str">
        <f t="shared" si="0"/>
        <v>H1 17</v>
      </c>
      <c r="L6" s="8" t="str">
        <f t="shared" si="0"/>
        <v>H2 17</v>
      </c>
      <c r="M6" s="9" t="str">
        <f t="shared" si="0"/>
        <v>FY17</v>
      </c>
      <c r="N6" s="8" t="str">
        <f t="shared" si="0"/>
        <v>H1 18</v>
      </c>
      <c r="O6" s="8" t="str">
        <f t="shared" si="0"/>
        <v>H2 18</v>
      </c>
      <c r="P6" s="9" t="str">
        <f t="shared" si="0"/>
        <v>FY18</v>
      </c>
      <c r="Q6" s="8" t="str">
        <f t="shared" si="0"/>
        <v>H1 19</v>
      </c>
      <c r="R6" s="8" t="str">
        <f t="shared" si="0"/>
        <v>H2 19</v>
      </c>
      <c r="S6" s="9" t="str">
        <f t="shared" si="0"/>
        <v>FY19</v>
      </c>
      <c r="U6" s="196" t="s">
        <v>557</v>
      </c>
      <c r="W6" s="271" t="s">
        <v>534</v>
      </c>
      <c r="X6" s="272" t="s">
        <v>535</v>
      </c>
      <c r="Y6" s="273" t="s">
        <v>536</v>
      </c>
      <c r="AA6" s="188" t="s">
        <v>538</v>
      </c>
      <c r="AF6" s="188"/>
    </row>
    <row r="7" spans="1:35" s="138" customFormat="1" ht="14" x14ac:dyDescent="0.3">
      <c r="A7" s="181" t="s">
        <v>552</v>
      </c>
      <c r="B7" s="136"/>
      <c r="C7" s="136"/>
      <c r="D7" s="136"/>
      <c r="E7" s="136"/>
      <c r="F7" s="136"/>
      <c r="G7" s="137"/>
      <c r="H7" s="136"/>
      <c r="I7" s="136"/>
      <c r="J7" s="137"/>
      <c r="K7" s="136"/>
      <c r="L7" s="136"/>
      <c r="M7" s="54"/>
      <c r="N7" s="36"/>
      <c r="O7" s="36"/>
      <c r="P7" s="54"/>
      <c r="Q7" s="136"/>
      <c r="R7" s="136"/>
      <c r="S7" s="54"/>
      <c r="U7" s="194">
        <v>0</v>
      </c>
      <c r="V7" s="194">
        <v>0</v>
      </c>
      <c r="W7" s="261">
        <v>0</v>
      </c>
      <c r="X7" s="194">
        <v>0</v>
      </c>
      <c r="Y7" s="262">
        <v>0</v>
      </c>
      <c r="Z7" s="141"/>
      <c r="AA7" s="141"/>
      <c r="AB7" s="141"/>
      <c r="AC7" s="141"/>
      <c r="AD7" s="141"/>
      <c r="AF7" s="155"/>
      <c r="AG7" s="155"/>
      <c r="AH7" s="155"/>
      <c r="AI7" s="155"/>
    </row>
    <row r="8" spans="1:35" s="21" customFormat="1" ht="14" x14ac:dyDescent="0.3">
      <c r="A8" s="14" t="s">
        <v>553</v>
      </c>
      <c r="G8" s="48"/>
      <c r="J8" s="48"/>
      <c r="K8" s="21">
        <v>28.7</v>
      </c>
      <c r="L8" s="21">
        <f>M8-K8</f>
        <v>13.900000000000002</v>
      </c>
      <c r="M8" s="229">
        <v>42.6</v>
      </c>
      <c r="N8" s="21">
        <v>32.700000000000003</v>
      </c>
      <c r="O8" s="21">
        <f>P8-N8</f>
        <v>15.399999999999999</v>
      </c>
      <c r="P8" s="229">
        <v>48.1</v>
      </c>
      <c r="Q8" s="22">
        <v>40</v>
      </c>
      <c r="R8" s="21">
        <f>S8-Q8</f>
        <v>16.200000000000003</v>
      </c>
      <c r="S8" s="245">
        <v>56.2</v>
      </c>
      <c r="U8" s="148">
        <f>SUM(P8:S8)</f>
        <v>160.5</v>
      </c>
      <c r="V8" s="148"/>
      <c r="W8" s="263">
        <v>304</v>
      </c>
      <c r="X8" s="148">
        <v>340</v>
      </c>
      <c r="Y8" s="264">
        <v>381</v>
      </c>
      <c r="Z8" s="134"/>
      <c r="AA8" s="189" t="s">
        <v>558</v>
      </c>
      <c r="AB8" s="190" t="s">
        <v>555</v>
      </c>
      <c r="AC8" s="190" t="s">
        <v>150</v>
      </c>
      <c r="AD8" s="190"/>
      <c r="AE8" s="190"/>
      <c r="AF8" s="156"/>
      <c r="AG8" s="156"/>
      <c r="AH8" s="156"/>
      <c r="AI8" s="156"/>
    </row>
    <row r="9" spans="1:35" s="21" customFormat="1" ht="14" x14ac:dyDescent="0.3">
      <c r="A9" s="14" t="s">
        <v>551</v>
      </c>
      <c r="D9" s="22"/>
      <c r="E9" s="22"/>
      <c r="F9" s="22"/>
      <c r="G9" s="50"/>
      <c r="H9" s="22"/>
      <c r="I9" s="22"/>
      <c r="J9" s="50"/>
      <c r="K9" s="22"/>
      <c r="L9" s="22"/>
      <c r="M9" s="245">
        <v>0</v>
      </c>
      <c r="N9" s="22">
        <v>61.6</v>
      </c>
      <c r="O9" s="22">
        <f>P9-N9</f>
        <v>0</v>
      </c>
      <c r="P9" s="245">
        <v>61.6</v>
      </c>
      <c r="Q9" s="22">
        <v>72.900000000000006</v>
      </c>
      <c r="R9" s="22">
        <f>S9-Q9</f>
        <v>0</v>
      </c>
      <c r="S9" s="245">
        <v>72.900000000000006</v>
      </c>
      <c r="U9" s="148">
        <f t="shared" ref="U9:U10" si="1">SUM(P9:S9)</f>
        <v>207.4</v>
      </c>
      <c r="V9" s="148"/>
      <c r="W9" s="263">
        <v>347</v>
      </c>
      <c r="X9" s="148">
        <v>387</v>
      </c>
      <c r="Y9" s="264">
        <v>439</v>
      </c>
      <c r="Z9" s="134"/>
      <c r="AA9" s="189"/>
      <c r="AB9" s="191"/>
      <c r="AC9" s="190" t="s">
        <v>534</v>
      </c>
      <c r="AD9" s="192" t="s">
        <v>535</v>
      </c>
      <c r="AE9" s="192" t="s">
        <v>536</v>
      </c>
      <c r="AF9" s="156"/>
      <c r="AG9" s="156"/>
      <c r="AH9" s="156"/>
      <c r="AI9" s="156"/>
    </row>
    <row r="10" spans="1:35" s="30" customFormat="1" thickBot="1" x14ac:dyDescent="0.35">
      <c r="A10" s="15" t="s">
        <v>554</v>
      </c>
      <c r="B10" s="28"/>
      <c r="C10" s="28"/>
      <c r="D10" s="29"/>
      <c r="E10" s="29">
        <f>-Database!T184</f>
        <v>25.5</v>
      </c>
      <c r="F10" s="29">
        <f>-Database!U184</f>
        <v>12.399999999999999</v>
      </c>
      <c r="G10" s="52">
        <f>-Database!V184</f>
        <v>37.9</v>
      </c>
      <c r="H10" s="29">
        <f>-Database!W184</f>
        <v>26.9</v>
      </c>
      <c r="I10" s="29">
        <f>-Database!X184</f>
        <v>13</v>
      </c>
      <c r="J10" s="231">
        <f>-Database!Y184</f>
        <v>39.9</v>
      </c>
      <c r="K10" s="29">
        <f>-Database!Z184</f>
        <v>28.7</v>
      </c>
      <c r="L10" s="29">
        <f>-Database!AA184</f>
        <v>13.900000000000002</v>
      </c>
      <c r="M10" s="231">
        <f>-Database!AB184</f>
        <v>42.6</v>
      </c>
      <c r="N10" s="29">
        <f>-Database!AC184</f>
        <v>94.3</v>
      </c>
      <c r="O10" s="29">
        <f>-Database!AD184</f>
        <v>15.400000000000006</v>
      </c>
      <c r="P10" s="231">
        <f>-Database!AE184</f>
        <v>109.7</v>
      </c>
      <c r="Q10" s="29">
        <f>-Database!AF184</f>
        <v>112.9</v>
      </c>
      <c r="R10" s="29">
        <f>-Database!AG184</f>
        <v>16.199999999999989</v>
      </c>
      <c r="S10" s="231">
        <f>-Database!AH184</f>
        <v>129.1</v>
      </c>
      <c r="U10" s="193">
        <f t="shared" si="1"/>
        <v>367.9</v>
      </c>
      <c r="V10" s="150"/>
      <c r="W10" s="265">
        <f>SUM(W8:W9)</f>
        <v>651</v>
      </c>
      <c r="X10" s="187">
        <f>SUM(X8:X9)</f>
        <v>727</v>
      </c>
      <c r="Y10" s="266">
        <f>SUM(Y8:Y9)</f>
        <v>820</v>
      </c>
      <c r="Z10" s="135"/>
      <c r="AA10" s="150"/>
      <c r="AC10" s="150"/>
      <c r="AD10" s="150"/>
      <c r="AE10" s="150"/>
      <c r="AF10" s="158"/>
      <c r="AG10" s="158"/>
      <c r="AH10" s="158"/>
      <c r="AI10" s="156"/>
    </row>
    <row r="11" spans="1:35" s="34" customFormat="1" ht="15.5" thickTop="1" thickBot="1" x14ac:dyDescent="0.4">
      <c r="A11" s="16" t="s">
        <v>109</v>
      </c>
      <c r="B11" s="31"/>
      <c r="C11" s="31"/>
      <c r="D11" s="32"/>
      <c r="E11" s="32"/>
      <c r="F11" s="32"/>
      <c r="G11" s="53"/>
      <c r="H11" s="32"/>
      <c r="I11" s="32"/>
      <c r="J11" s="53"/>
      <c r="K11" s="32"/>
      <c r="L11" s="32"/>
      <c r="M11" s="258">
        <f t="shared" ref="M11:N11" si="2">M10/J10-1</f>
        <v>6.7669172932330879E-2</v>
      </c>
      <c r="N11" s="32">
        <f t="shared" si="2"/>
        <v>2.2857142857142856</v>
      </c>
      <c r="O11" s="32">
        <f>O10/L10-1</f>
        <v>0.10791366906474842</v>
      </c>
      <c r="P11" s="258">
        <f>P10/M10-1</f>
        <v>1.575117370892019</v>
      </c>
      <c r="Q11" s="32">
        <f t="shared" ref="Q11" si="3">Q10/N10-1</f>
        <v>0.1972428419936374</v>
      </c>
      <c r="R11" s="32">
        <f>R10/O10-1</f>
        <v>5.1948051948050855E-2</v>
      </c>
      <c r="S11" s="258">
        <f>S10/P10-1</f>
        <v>0.17684594348222427</v>
      </c>
      <c r="W11" s="267"/>
      <c r="X11" s="268"/>
      <c r="Y11" s="269"/>
      <c r="AA11" s="151"/>
      <c r="AC11" s="151"/>
      <c r="AD11" s="151"/>
      <c r="AE11" s="151"/>
      <c r="AF11" s="159"/>
      <c r="AG11" s="159"/>
      <c r="AH11" s="159"/>
      <c r="AI11" s="156"/>
    </row>
    <row r="12" spans="1:35" s="17" customFormat="1" ht="14" x14ac:dyDescent="0.3">
      <c r="D12" s="36"/>
      <c r="E12" s="36"/>
      <c r="F12" s="36"/>
      <c r="G12" s="54">
        <v>0</v>
      </c>
      <c r="H12" s="36"/>
      <c r="I12" s="36"/>
      <c r="J12" s="54">
        <v>0</v>
      </c>
      <c r="K12" s="36"/>
      <c r="L12" s="36"/>
      <c r="M12" s="225"/>
      <c r="Q12" s="36"/>
      <c r="R12" s="36"/>
      <c r="S12" s="36"/>
      <c r="Y12" s="142"/>
      <c r="Z12" s="134"/>
      <c r="AA12" s="152"/>
      <c r="AB12" s="152"/>
      <c r="AC12" s="152"/>
      <c r="AD12" s="152"/>
      <c r="AE12" s="153"/>
      <c r="AF12" s="160"/>
      <c r="AG12" s="160"/>
      <c r="AH12" s="160"/>
      <c r="AI12" s="160"/>
    </row>
    <row r="13" spans="1:35" s="17" customFormat="1" ht="14" x14ac:dyDescent="0.3">
      <c r="D13" s="36"/>
      <c r="E13" s="36"/>
      <c r="F13" s="36"/>
      <c r="G13" s="54">
        <v>0</v>
      </c>
      <c r="H13" s="36"/>
      <c r="I13" s="36"/>
      <c r="J13" s="54">
        <v>0</v>
      </c>
      <c r="K13" s="36"/>
      <c r="L13" s="36"/>
      <c r="Q13" s="36"/>
      <c r="R13" s="36"/>
      <c r="S13" s="36"/>
    </row>
    <row r="17" spans="21:21" x14ac:dyDescent="0.35">
      <c r="U17" s="182"/>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63EA-982E-4107-95DE-8DACF91C74A7}">
  <sheetPr codeName="Sheet8">
    <tabColor theme="4"/>
  </sheetPr>
  <dimension ref="A1:AS53"/>
  <sheetViews>
    <sheetView workbookViewId="0"/>
  </sheetViews>
  <sheetFormatPr defaultColWidth="9.1796875" defaultRowHeight="14" x14ac:dyDescent="0.3"/>
  <cols>
    <col min="1" max="1" width="39.81640625" style="1" customWidth="1"/>
    <col min="2" max="2" width="8.54296875" style="1" bestFit="1" customWidth="1"/>
    <col min="3" max="3" width="7.81640625" style="1" customWidth="1"/>
    <col min="4" max="5" width="8.81640625" style="2" hidden="1" customWidth="1"/>
    <col min="6" max="6" width="9.81640625" style="3" hidden="1" customWidth="1"/>
    <col min="7" max="8" width="8.81640625" style="2" hidden="1" customWidth="1"/>
    <col min="9" max="9" width="9.81640625" style="3" hidden="1" customWidth="1"/>
    <col min="10" max="11" width="8.81640625" style="2" hidden="1" customWidth="1"/>
    <col min="12" max="12" width="9.81640625" style="3" hidden="1" customWidth="1"/>
    <col min="13" max="14" width="8.81640625" style="2" hidden="1" customWidth="1"/>
    <col min="15" max="15" width="9.81640625" style="3" hidden="1" customWidth="1"/>
    <col min="16" max="17" width="8.81640625" style="2" hidden="1" customWidth="1"/>
    <col min="18" max="18" width="9.81640625" style="3" hidden="1" customWidth="1"/>
    <col min="19" max="20" width="8.81640625" style="2" customWidth="1"/>
    <col min="21" max="21" width="9.81640625" style="3" customWidth="1"/>
    <col min="22" max="23" width="8.81640625" style="2" customWidth="1"/>
    <col min="24" max="24" width="9.81640625" style="3" customWidth="1"/>
    <col min="25" max="26" width="8.81640625" style="2" customWidth="1"/>
    <col min="27" max="27" width="9.81640625" style="3" customWidth="1"/>
    <col min="28" max="29" width="8.81640625" style="2" customWidth="1"/>
    <col min="30" max="30" width="9.81640625" style="3" customWidth="1"/>
    <col min="31" max="32" width="8.81640625" style="2" customWidth="1"/>
    <col min="33" max="33" width="9.81640625" style="3" customWidth="1"/>
    <col min="34" max="34" width="8.81640625" style="2" customWidth="1"/>
    <col min="35" max="35" width="8.81640625" style="1" customWidth="1"/>
    <col min="36" max="36" width="9.1796875" style="47"/>
    <col min="37" max="37" width="8.81640625" style="2" customWidth="1"/>
    <col min="38" max="38" width="8.81640625" style="1" customWidth="1"/>
    <col min="39" max="39" width="9.1796875" style="47"/>
    <col min="40" max="40" width="8.81640625" style="2" customWidth="1"/>
    <col min="41" max="41" width="8.81640625" style="1" customWidth="1"/>
    <col min="42" max="42" width="9.1796875" style="47"/>
    <col min="43" max="43" width="8.81640625" style="2" customWidth="1"/>
    <col min="44" max="44" width="8.81640625" style="1" customWidth="1"/>
    <col min="45" max="45" width="9.1796875" style="47"/>
    <col min="46" max="16384" width="9.1796875" style="1"/>
  </cols>
  <sheetData>
    <row r="1" spans="1:45" x14ac:dyDescent="0.3">
      <c r="B1" s="11" t="s">
        <v>98</v>
      </c>
      <c r="C1" s="11" t="str">
        <f>Database!D1</f>
        <v>June</v>
      </c>
    </row>
    <row r="2" spans="1:45" x14ac:dyDescent="0.3">
      <c r="B2" s="11" t="s">
        <v>100</v>
      </c>
      <c r="C2" s="11" t="str">
        <f>Database!D2</f>
        <v>HAS-LN</v>
      </c>
    </row>
    <row r="3" spans="1:45" x14ac:dyDescent="0.3">
      <c r="B3" s="11" t="s">
        <v>102</v>
      </c>
      <c r="C3" s="11" t="str">
        <f>Database!D3</f>
        <v>OK</v>
      </c>
    </row>
    <row r="4" spans="1:45" x14ac:dyDescent="0.3">
      <c r="B4" s="11" t="s">
        <v>104</v>
      </c>
      <c r="C4" s="11">
        <f>Database!D4</f>
        <v>2025.08</v>
      </c>
    </row>
    <row r="5" spans="1:45" s="200" customFormat="1" ht="15" customHeight="1" x14ac:dyDescent="0.3">
      <c r="D5" s="201" t="s">
        <v>90</v>
      </c>
      <c r="E5" s="201" t="s">
        <v>91</v>
      </c>
      <c r="F5" s="202" t="s">
        <v>41</v>
      </c>
      <c r="G5" s="201" t="s">
        <v>43</v>
      </c>
      <c r="H5" s="201" t="s">
        <v>44</v>
      </c>
      <c r="I5" s="202" t="s">
        <v>40</v>
      </c>
      <c r="J5" s="201" t="s">
        <v>45</v>
      </c>
      <c r="K5" s="201" t="s">
        <v>46</v>
      </c>
      <c r="L5" s="202" t="s">
        <v>39</v>
      </c>
      <c r="M5" s="201" t="s">
        <v>47</v>
      </c>
      <c r="N5" s="201" t="s">
        <v>48</v>
      </c>
      <c r="O5" s="202" t="s">
        <v>38</v>
      </c>
      <c r="P5" s="201" t="s">
        <v>49</v>
      </c>
      <c r="Q5" s="201" t="s">
        <v>50</v>
      </c>
      <c r="R5" s="202" t="s">
        <v>37</v>
      </c>
      <c r="S5" s="201" t="s">
        <v>51</v>
      </c>
      <c r="T5" s="201" t="s">
        <v>52</v>
      </c>
      <c r="U5" s="202" t="s">
        <v>36</v>
      </c>
      <c r="V5" s="201" t="s">
        <v>53</v>
      </c>
      <c r="W5" s="201" t="s">
        <v>54</v>
      </c>
      <c r="X5" s="202" t="s">
        <v>35</v>
      </c>
      <c r="Y5" s="201" t="s">
        <v>55</v>
      </c>
      <c r="Z5" s="201" t="s">
        <v>56</v>
      </c>
      <c r="AA5" s="202" t="s">
        <v>34</v>
      </c>
      <c r="AB5" s="201" t="s">
        <v>57</v>
      </c>
      <c r="AC5" s="201" t="s">
        <v>58</v>
      </c>
      <c r="AD5" s="202" t="s">
        <v>33</v>
      </c>
      <c r="AE5" s="201" t="s">
        <v>92</v>
      </c>
      <c r="AF5" s="201" t="s">
        <v>93</v>
      </c>
      <c r="AG5" s="202" t="s">
        <v>94</v>
      </c>
      <c r="AH5" s="201" t="s">
        <v>95</v>
      </c>
      <c r="AI5" s="201" t="s">
        <v>140</v>
      </c>
      <c r="AJ5" s="202" t="s">
        <v>141</v>
      </c>
      <c r="AK5" s="201" t="s">
        <v>142</v>
      </c>
      <c r="AL5" s="201" t="s">
        <v>143</v>
      </c>
      <c r="AM5" s="202" t="s">
        <v>144</v>
      </c>
      <c r="AN5" s="201" t="s">
        <v>145</v>
      </c>
      <c r="AO5" s="201" t="s">
        <v>146</v>
      </c>
      <c r="AP5" s="202" t="s">
        <v>147</v>
      </c>
      <c r="AQ5" s="201" t="s">
        <v>148</v>
      </c>
      <c r="AR5" s="201" t="s">
        <v>149</v>
      </c>
      <c r="AS5" s="202" t="s">
        <v>150</v>
      </c>
    </row>
    <row r="6" spans="1:45" s="211" customFormat="1" ht="15" customHeight="1" x14ac:dyDescent="0.3">
      <c r="A6" s="210" t="s">
        <v>462</v>
      </c>
      <c r="D6" s="212" t="str">
        <f>D$5</f>
        <v>H1 09</v>
      </c>
      <c r="E6" s="212" t="str">
        <f t="shared" ref="E6:AS6" si="0">E$5</f>
        <v>H2 09</v>
      </c>
      <c r="F6" s="213" t="str">
        <f t="shared" si="0"/>
        <v>FY09</v>
      </c>
      <c r="G6" s="212" t="str">
        <f t="shared" si="0"/>
        <v>H1 10</v>
      </c>
      <c r="H6" s="212" t="str">
        <f t="shared" si="0"/>
        <v>H2 10</v>
      </c>
      <c r="I6" s="213" t="str">
        <f t="shared" si="0"/>
        <v>FY10</v>
      </c>
      <c r="J6" s="212" t="str">
        <f t="shared" si="0"/>
        <v>H1 11</v>
      </c>
      <c r="K6" s="212" t="str">
        <f t="shared" si="0"/>
        <v>H2 11</v>
      </c>
      <c r="L6" s="213" t="str">
        <f t="shared" si="0"/>
        <v>FY11</v>
      </c>
      <c r="M6" s="212" t="str">
        <f t="shared" si="0"/>
        <v>H1 12</v>
      </c>
      <c r="N6" s="212" t="str">
        <f t="shared" si="0"/>
        <v>H2 12</v>
      </c>
      <c r="O6" s="213" t="str">
        <f t="shared" si="0"/>
        <v>FY12</v>
      </c>
      <c r="P6" s="212" t="str">
        <f t="shared" si="0"/>
        <v>H1 13</v>
      </c>
      <c r="Q6" s="212" t="str">
        <f t="shared" si="0"/>
        <v>H2 13</v>
      </c>
      <c r="R6" s="213" t="str">
        <f t="shared" si="0"/>
        <v>FY13</v>
      </c>
      <c r="S6" s="212" t="str">
        <f t="shared" si="0"/>
        <v>H1 14</v>
      </c>
      <c r="T6" s="212" t="str">
        <f t="shared" si="0"/>
        <v>H2 14</v>
      </c>
      <c r="U6" s="213" t="str">
        <f t="shared" si="0"/>
        <v>FY14</v>
      </c>
      <c r="V6" s="212" t="str">
        <f t="shared" si="0"/>
        <v>H1 15</v>
      </c>
      <c r="W6" s="212" t="str">
        <f t="shared" si="0"/>
        <v>H2 15</v>
      </c>
      <c r="X6" s="213" t="str">
        <f t="shared" si="0"/>
        <v>FY15</v>
      </c>
      <c r="Y6" s="212" t="str">
        <f t="shared" si="0"/>
        <v>H1 16</v>
      </c>
      <c r="Z6" s="212" t="str">
        <f t="shared" si="0"/>
        <v>H2 16</v>
      </c>
      <c r="AA6" s="213" t="str">
        <f t="shared" si="0"/>
        <v>FY16</v>
      </c>
      <c r="AB6" s="212" t="str">
        <f t="shared" si="0"/>
        <v>H1 17</v>
      </c>
      <c r="AC6" s="212" t="str">
        <f t="shared" si="0"/>
        <v>H2 17</v>
      </c>
      <c r="AD6" s="213" t="str">
        <f t="shared" si="0"/>
        <v>FY17</v>
      </c>
      <c r="AE6" s="212" t="str">
        <f t="shared" si="0"/>
        <v>H1 18</v>
      </c>
      <c r="AF6" s="212" t="str">
        <f t="shared" si="0"/>
        <v>H2 18</v>
      </c>
      <c r="AG6" s="213" t="str">
        <f t="shared" si="0"/>
        <v>FY18</v>
      </c>
      <c r="AH6" s="212" t="str">
        <f t="shared" si="0"/>
        <v>H1 19</v>
      </c>
      <c r="AI6" s="212" t="str">
        <f t="shared" si="0"/>
        <v>H2 19</v>
      </c>
      <c r="AJ6" s="213" t="str">
        <f t="shared" si="0"/>
        <v>FY19</v>
      </c>
      <c r="AK6" s="212" t="str">
        <f t="shared" si="0"/>
        <v>H1 20</v>
      </c>
      <c r="AL6" s="212" t="str">
        <f t="shared" si="0"/>
        <v>H2 20</v>
      </c>
      <c r="AM6" s="213" t="str">
        <f t="shared" si="0"/>
        <v>FY20</v>
      </c>
      <c r="AN6" s="212" t="str">
        <f t="shared" si="0"/>
        <v>H1 21</v>
      </c>
      <c r="AO6" s="212" t="str">
        <f t="shared" si="0"/>
        <v>H2 21</v>
      </c>
      <c r="AP6" s="213" t="str">
        <f t="shared" si="0"/>
        <v>FY21</v>
      </c>
      <c r="AQ6" s="212" t="str">
        <f t="shared" si="0"/>
        <v>H1 22</v>
      </c>
      <c r="AR6" s="212" t="str">
        <f t="shared" si="0"/>
        <v>H2 22</v>
      </c>
      <c r="AS6" s="213" t="str">
        <f t="shared" si="0"/>
        <v>FY22</v>
      </c>
    </row>
    <row r="7" spans="1:45" s="21" customFormat="1" x14ac:dyDescent="0.3">
      <c r="A7" s="14" t="s">
        <v>449</v>
      </c>
      <c r="E7" s="21">
        <f t="shared" ref="E7:E19" si="1">F7-D7</f>
        <v>0</v>
      </c>
      <c r="F7" s="48"/>
      <c r="H7" s="21">
        <f t="shared" ref="H7:H19" si="2">I7-G7</f>
        <v>0</v>
      </c>
      <c r="I7" s="48"/>
      <c r="K7" s="21">
        <f t="shared" ref="K7:K19" si="3">L7-J7</f>
        <v>0</v>
      </c>
      <c r="L7" s="48"/>
      <c r="N7" s="21">
        <f t="shared" ref="N7:N19" si="4">O7-M7</f>
        <v>0</v>
      </c>
      <c r="O7" s="48"/>
      <c r="Q7" s="21">
        <f t="shared" ref="Q7:Q19" si="5">R7-P7</f>
        <v>0</v>
      </c>
      <c r="R7" s="48"/>
      <c r="T7" s="21">
        <f t="shared" ref="T7:T19" si="6">U7-S7</f>
        <v>0</v>
      </c>
      <c r="U7" s="48"/>
      <c r="W7" s="21">
        <f t="shared" ref="W7:W19" si="7">X7-V7</f>
        <v>0</v>
      </c>
      <c r="X7" s="48"/>
      <c r="Z7" s="21">
        <f t="shared" ref="Z7:Z19" si="8">AA7-Y7</f>
        <v>0</v>
      </c>
      <c r="AA7" s="48"/>
      <c r="AC7" s="21">
        <f t="shared" ref="AC7:AC19" si="9">AD7-AB7</f>
        <v>0</v>
      </c>
      <c r="AD7" s="48"/>
      <c r="AE7" s="21">
        <v>31.9</v>
      </c>
      <c r="AF7" s="21">
        <f t="shared" ref="AF7:AF19" si="10">AG7-AE7</f>
        <v>33.4</v>
      </c>
      <c r="AG7" s="48">
        <v>65.3</v>
      </c>
      <c r="AH7" s="22">
        <v>33.4</v>
      </c>
      <c r="AI7" s="22"/>
      <c r="AJ7" s="57"/>
      <c r="AK7" s="22"/>
      <c r="AL7" s="22"/>
      <c r="AM7" s="57"/>
      <c r="AN7" s="22"/>
      <c r="AO7" s="22"/>
      <c r="AP7" s="57"/>
      <c r="AQ7" s="22"/>
      <c r="AR7" s="22"/>
      <c r="AS7" s="57"/>
    </row>
    <row r="8" spans="1:45" s="21" customFormat="1" x14ac:dyDescent="0.3">
      <c r="A8" s="14" t="s">
        <v>428</v>
      </c>
      <c r="E8" s="21">
        <f t="shared" si="1"/>
        <v>0</v>
      </c>
      <c r="F8" s="48"/>
      <c r="H8" s="21">
        <f t="shared" si="2"/>
        <v>0</v>
      </c>
      <c r="I8" s="48"/>
      <c r="K8" s="21">
        <f t="shared" si="3"/>
        <v>0</v>
      </c>
      <c r="L8" s="48"/>
      <c r="N8" s="21">
        <f t="shared" si="4"/>
        <v>0</v>
      </c>
      <c r="O8" s="48"/>
      <c r="Q8" s="21">
        <f t="shared" si="5"/>
        <v>0</v>
      </c>
      <c r="R8" s="48"/>
      <c r="T8" s="21">
        <f t="shared" si="6"/>
        <v>0</v>
      </c>
      <c r="U8" s="48"/>
      <c r="W8" s="21">
        <f t="shared" si="7"/>
        <v>0</v>
      </c>
      <c r="X8" s="48"/>
      <c r="Z8" s="21">
        <f t="shared" si="8"/>
        <v>0</v>
      </c>
      <c r="AA8" s="48"/>
      <c r="AC8" s="21">
        <f t="shared" si="9"/>
        <v>0</v>
      </c>
      <c r="AD8" s="48"/>
      <c r="AE8" s="21">
        <v>17.8</v>
      </c>
      <c r="AF8" s="21">
        <f t="shared" si="10"/>
        <v>20.999999999999996</v>
      </c>
      <c r="AG8" s="48">
        <v>38.799999999999997</v>
      </c>
      <c r="AH8" s="22">
        <v>21.2</v>
      </c>
      <c r="AI8" s="22"/>
      <c r="AJ8" s="57"/>
      <c r="AK8" s="22"/>
      <c r="AL8" s="22"/>
      <c r="AM8" s="57"/>
      <c r="AN8" s="22"/>
      <c r="AO8" s="22"/>
      <c r="AP8" s="57"/>
      <c r="AQ8" s="22"/>
      <c r="AR8" s="22"/>
      <c r="AS8" s="57"/>
    </row>
    <row r="9" spans="1:45" s="21" customFormat="1" x14ac:dyDescent="0.3">
      <c r="A9" s="14" t="s">
        <v>450</v>
      </c>
      <c r="E9" s="21">
        <f t="shared" si="1"/>
        <v>0</v>
      </c>
      <c r="F9" s="48"/>
      <c r="H9" s="21">
        <f t="shared" si="2"/>
        <v>0</v>
      </c>
      <c r="I9" s="48"/>
      <c r="K9" s="21">
        <f t="shared" si="3"/>
        <v>0</v>
      </c>
      <c r="L9" s="48"/>
      <c r="N9" s="21">
        <f t="shared" si="4"/>
        <v>0</v>
      </c>
      <c r="O9" s="48"/>
      <c r="Q9" s="21">
        <f t="shared" si="5"/>
        <v>0</v>
      </c>
      <c r="R9" s="48"/>
      <c r="T9" s="21">
        <f t="shared" si="6"/>
        <v>0</v>
      </c>
      <c r="U9" s="48"/>
      <c r="W9" s="21">
        <f t="shared" si="7"/>
        <v>0</v>
      </c>
      <c r="X9" s="48"/>
      <c r="Z9" s="21">
        <f t="shared" si="8"/>
        <v>0</v>
      </c>
      <c r="AA9" s="48"/>
      <c r="AC9" s="21">
        <f t="shared" si="9"/>
        <v>0</v>
      </c>
      <c r="AD9" s="48"/>
      <c r="AE9" s="21">
        <v>33.599999999999994</v>
      </c>
      <c r="AF9" s="21">
        <f t="shared" si="10"/>
        <v>34.900000000000006</v>
      </c>
      <c r="AG9" s="48">
        <v>68.5</v>
      </c>
      <c r="AH9" s="22">
        <v>39.980000000000004</v>
      </c>
      <c r="AI9" s="22"/>
      <c r="AJ9" s="57"/>
      <c r="AK9" s="22"/>
      <c r="AL9" s="22"/>
      <c r="AM9" s="57"/>
      <c r="AN9" s="22"/>
      <c r="AO9" s="22"/>
      <c r="AP9" s="57"/>
      <c r="AQ9" s="22"/>
      <c r="AR9" s="22"/>
      <c r="AS9" s="57"/>
    </row>
    <row r="10" spans="1:45" s="21" customFormat="1" x14ac:dyDescent="0.3">
      <c r="A10" s="14" t="s">
        <v>451</v>
      </c>
      <c r="E10" s="21">
        <f t="shared" si="1"/>
        <v>0</v>
      </c>
      <c r="F10" s="48"/>
      <c r="H10" s="21">
        <f t="shared" si="2"/>
        <v>0</v>
      </c>
      <c r="I10" s="48"/>
      <c r="K10" s="21">
        <f t="shared" si="3"/>
        <v>0</v>
      </c>
      <c r="L10" s="48"/>
      <c r="N10" s="21">
        <f t="shared" si="4"/>
        <v>0</v>
      </c>
      <c r="O10" s="48"/>
      <c r="Q10" s="21">
        <f t="shared" si="5"/>
        <v>0</v>
      </c>
      <c r="R10" s="48"/>
      <c r="T10" s="21">
        <f t="shared" si="6"/>
        <v>0</v>
      </c>
      <c r="U10" s="48"/>
      <c r="W10" s="21">
        <f t="shared" si="7"/>
        <v>0</v>
      </c>
      <c r="X10" s="48"/>
      <c r="Z10" s="21">
        <f t="shared" si="8"/>
        <v>0</v>
      </c>
      <c r="AA10" s="48"/>
      <c r="AC10" s="21">
        <f t="shared" si="9"/>
        <v>0</v>
      </c>
      <c r="AD10" s="48"/>
      <c r="AE10" s="21">
        <v>13.4</v>
      </c>
      <c r="AF10" s="21">
        <f t="shared" si="10"/>
        <v>14.499999999999998</v>
      </c>
      <c r="AG10" s="48">
        <v>27.9</v>
      </c>
      <c r="AH10" s="22">
        <v>13.100000000000001</v>
      </c>
      <c r="AI10" s="22"/>
      <c r="AJ10" s="57"/>
      <c r="AK10" s="22"/>
      <c r="AL10" s="22"/>
      <c r="AM10" s="57"/>
      <c r="AN10" s="22"/>
      <c r="AO10" s="22"/>
      <c r="AP10" s="57"/>
      <c r="AQ10" s="22"/>
      <c r="AR10" s="22"/>
      <c r="AS10" s="57"/>
    </row>
    <row r="11" spans="1:45" s="21" customFormat="1" x14ac:dyDescent="0.3">
      <c r="A11" s="14" t="s">
        <v>452</v>
      </c>
      <c r="E11" s="21">
        <f t="shared" si="1"/>
        <v>0</v>
      </c>
      <c r="F11" s="48"/>
      <c r="H11" s="21">
        <f t="shared" si="2"/>
        <v>0</v>
      </c>
      <c r="I11" s="48"/>
      <c r="K11" s="21">
        <f t="shared" si="3"/>
        <v>0</v>
      </c>
      <c r="L11" s="48"/>
      <c r="N11" s="21">
        <f t="shared" si="4"/>
        <v>0</v>
      </c>
      <c r="O11" s="48"/>
      <c r="Q11" s="21">
        <f t="shared" si="5"/>
        <v>0</v>
      </c>
      <c r="R11" s="48"/>
      <c r="T11" s="21">
        <f t="shared" si="6"/>
        <v>0</v>
      </c>
      <c r="U11" s="48"/>
      <c r="W11" s="21">
        <f t="shared" si="7"/>
        <v>0</v>
      </c>
      <c r="X11" s="48"/>
      <c r="Z11" s="21">
        <f t="shared" si="8"/>
        <v>0</v>
      </c>
      <c r="AA11" s="48"/>
      <c r="AC11" s="21">
        <f t="shared" si="9"/>
        <v>0</v>
      </c>
      <c r="AD11" s="48"/>
      <c r="AE11" s="21">
        <v>9.3000000000000007</v>
      </c>
      <c r="AF11" s="21">
        <f t="shared" si="10"/>
        <v>10.3</v>
      </c>
      <c r="AG11" s="48">
        <v>19.600000000000001</v>
      </c>
      <c r="AH11" s="22">
        <v>11.6</v>
      </c>
      <c r="AI11" s="22"/>
      <c r="AJ11" s="57"/>
      <c r="AK11" s="22"/>
      <c r="AL11" s="22"/>
      <c r="AM11" s="57"/>
      <c r="AN11" s="22"/>
      <c r="AO11" s="22"/>
      <c r="AP11" s="57"/>
      <c r="AQ11" s="22"/>
      <c r="AR11" s="22"/>
      <c r="AS11" s="57"/>
    </row>
    <row r="12" spans="1:45" s="21" customFormat="1" x14ac:dyDescent="0.3">
      <c r="A12" s="14" t="s">
        <v>453</v>
      </c>
      <c r="E12" s="21">
        <f t="shared" si="1"/>
        <v>0</v>
      </c>
      <c r="F12" s="48"/>
      <c r="H12" s="21">
        <f t="shared" si="2"/>
        <v>0</v>
      </c>
      <c r="I12" s="48"/>
      <c r="K12" s="21">
        <f t="shared" si="3"/>
        <v>0</v>
      </c>
      <c r="L12" s="48"/>
      <c r="N12" s="21">
        <f t="shared" si="4"/>
        <v>0</v>
      </c>
      <c r="O12" s="48"/>
      <c r="Q12" s="21">
        <f t="shared" si="5"/>
        <v>0</v>
      </c>
      <c r="R12" s="48"/>
      <c r="T12" s="21">
        <f t="shared" si="6"/>
        <v>0</v>
      </c>
      <c r="U12" s="48"/>
      <c r="W12" s="21">
        <f t="shared" si="7"/>
        <v>0</v>
      </c>
      <c r="X12" s="48"/>
      <c r="Z12" s="21">
        <f t="shared" si="8"/>
        <v>0</v>
      </c>
      <c r="AA12" s="48"/>
      <c r="AC12" s="21">
        <f t="shared" si="9"/>
        <v>0</v>
      </c>
      <c r="AD12" s="48"/>
      <c r="AE12" s="21">
        <v>11.2</v>
      </c>
      <c r="AF12" s="21">
        <f t="shared" si="10"/>
        <v>10.100000000000001</v>
      </c>
      <c r="AG12" s="48">
        <v>21.3</v>
      </c>
      <c r="AH12" s="22">
        <v>11.2</v>
      </c>
      <c r="AI12" s="22"/>
      <c r="AJ12" s="57"/>
      <c r="AK12" s="22"/>
      <c r="AL12" s="22"/>
      <c r="AM12" s="57"/>
      <c r="AN12" s="22"/>
      <c r="AO12" s="22"/>
      <c r="AP12" s="57"/>
      <c r="AQ12" s="22"/>
      <c r="AR12" s="22"/>
      <c r="AS12" s="57"/>
    </row>
    <row r="13" spans="1:45" s="21" customFormat="1" x14ac:dyDescent="0.3">
      <c r="A13" s="14" t="s">
        <v>454</v>
      </c>
      <c r="D13" s="21">
        <v>3.9</v>
      </c>
      <c r="E13" s="21">
        <f t="shared" si="1"/>
        <v>-3.9</v>
      </c>
      <c r="F13" s="48"/>
      <c r="G13" s="21">
        <v>4.2</v>
      </c>
      <c r="H13" s="21">
        <f t="shared" si="2"/>
        <v>-4.2</v>
      </c>
      <c r="I13" s="48"/>
      <c r="J13" s="21">
        <v>6.9</v>
      </c>
      <c r="K13" s="21">
        <f t="shared" si="3"/>
        <v>-6.9</v>
      </c>
      <c r="L13" s="48"/>
      <c r="N13" s="21">
        <f t="shared" si="4"/>
        <v>0</v>
      </c>
      <c r="O13" s="48"/>
      <c r="Q13" s="21">
        <f t="shared" si="5"/>
        <v>0</v>
      </c>
      <c r="R13" s="48"/>
      <c r="T13" s="21">
        <f t="shared" si="6"/>
        <v>0</v>
      </c>
      <c r="U13" s="48"/>
      <c r="W13" s="21">
        <f t="shared" si="7"/>
        <v>0</v>
      </c>
      <c r="X13" s="48"/>
      <c r="Z13" s="21">
        <f t="shared" si="8"/>
        <v>0</v>
      </c>
      <c r="AA13" s="48"/>
      <c r="AC13" s="21">
        <f t="shared" si="9"/>
        <v>0</v>
      </c>
      <c r="AD13" s="48"/>
      <c r="AE13" s="21">
        <v>9.9</v>
      </c>
      <c r="AF13" s="21">
        <f t="shared" si="10"/>
        <v>10.6</v>
      </c>
      <c r="AG13" s="48">
        <v>20.5</v>
      </c>
      <c r="AH13" s="22">
        <v>10.7</v>
      </c>
      <c r="AI13" s="22"/>
      <c r="AJ13" s="57"/>
      <c r="AK13" s="22"/>
      <c r="AL13" s="22"/>
      <c r="AM13" s="57"/>
      <c r="AN13" s="22"/>
      <c r="AO13" s="22"/>
      <c r="AP13" s="57"/>
      <c r="AQ13" s="22"/>
      <c r="AR13" s="22"/>
      <c r="AS13" s="57"/>
    </row>
    <row r="14" spans="1:45" s="21" customFormat="1" x14ac:dyDescent="0.3">
      <c r="A14" s="14" t="s">
        <v>455</v>
      </c>
      <c r="E14" s="21">
        <f t="shared" si="1"/>
        <v>0</v>
      </c>
      <c r="F14" s="48"/>
      <c r="H14" s="21">
        <f t="shared" si="2"/>
        <v>0</v>
      </c>
      <c r="I14" s="48"/>
      <c r="K14" s="21">
        <f t="shared" si="3"/>
        <v>0</v>
      </c>
      <c r="L14" s="48"/>
      <c r="N14" s="21">
        <f t="shared" si="4"/>
        <v>0</v>
      </c>
      <c r="O14" s="48"/>
      <c r="Q14" s="21">
        <f t="shared" si="5"/>
        <v>0</v>
      </c>
      <c r="R14" s="48"/>
      <c r="T14" s="21">
        <f t="shared" si="6"/>
        <v>0</v>
      </c>
      <c r="U14" s="48"/>
      <c r="W14" s="21">
        <f t="shared" si="7"/>
        <v>0</v>
      </c>
      <c r="X14" s="48"/>
      <c r="Z14" s="21">
        <f t="shared" si="8"/>
        <v>0</v>
      </c>
      <c r="AA14" s="48"/>
      <c r="AC14" s="21">
        <f t="shared" si="9"/>
        <v>0</v>
      </c>
      <c r="AD14" s="48"/>
      <c r="AE14" s="21">
        <v>8.6</v>
      </c>
      <c r="AF14" s="21">
        <f t="shared" si="10"/>
        <v>9.7000000000000011</v>
      </c>
      <c r="AG14" s="48">
        <v>18.3</v>
      </c>
      <c r="AH14" s="22">
        <v>10</v>
      </c>
      <c r="AI14" s="22"/>
      <c r="AJ14" s="57"/>
      <c r="AK14" s="22"/>
      <c r="AL14" s="22"/>
      <c r="AM14" s="57"/>
      <c r="AN14" s="22"/>
      <c r="AO14" s="22"/>
      <c r="AP14" s="57"/>
      <c r="AQ14" s="22"/>
      <c r="AR14" s="22"/>
      <c r="AS14" s="57"/>
    </row>
    <row r="15" spans="1:45" s="21" customFormat="1" x14ac:dyDescent="0.3">
      <c r="A15" s="14" t="s">
        <v>456</v>
      </c>
      <c r="E15" s="21">
        <f t="shared" si="1"/>
        <v>0</v>
      </c>
      <c r="F15" s="48"/>
      <c r="H15" s="21">
        <f t="shared" si="2"/>
        <v>0</v>
      </c>
      <c r="I15" s="48"/>
      <c r="K15" s="21">
        <f t="shared" si="3"/>
        <v>0</v>
      </c>
      <c r="L15" s="48"/>
      <c r="N15" s="21">
        <f t="shared" si="4"/>
        <v>0</v>
      </c>
      <c r="O15" s="48"/>
      <c r="Q15" s="21">
        <f t="shared" si="5"/>
        <v>0</v>
      </c>
      <c r="R15" s="48"/>
      <c r="T15" s="21">
        <f t="shared" si="6"/>
        <v>0</v>
      </c>
      <c r="U15" s="48"/>
      <c r="W15" s="21">
        <f t="shared" si="7"/>
        <v>0</v>
      </c>
      <c r="X15" s="48"/>
      <c r="Z15" s="21">
        <f t="shared" si="8"/>
        <v>0</v>
      </c>
      <c r="AA15" s="48"/>
      <c r="AC15" s="21">
        <f t="shared" si="9"/>
        <v>0</v>
      </c>
      <c r="AD15" s="48"/>
      <c r="AE15" s="21">
        <v>8.3000000000000007</v>
      </c>
      <c r="AF15" s="21">
        <f t="shared" si="10"/>
        <v>9.0999999999999979</v>
      </c>
      <c r="AG15" s="48">
        <v>17.399999999999999</v>
      </c>
      <c r="AH15" s="22">
        <v>9</v>
      </c>
      <c r="AI15" s="22"/>
      <c r="AJ15" s="57"/>
      <c r="AK15" s="22"/>
      <c r="AL15" s="22"/>
      <c r="AM15" s="57"/>
      <c r="AN15" s="22"/>
      <c r="AO15" s="22"/>
      <c r="AP15" s="57"/>
      <c r="AQ15" s="22"/>
      <c r="AR15" s="22"/>
      <c r="AS15" s="57"/>
    </row>
    <row r="16" spans="1:45" s="21" customFormat="1" x14ac:dyDescent="0.3">
      <c r="A16" s="14" t="s">
        <v>457</v>
      </c>
      <c r="E16" s="21">
        <f t="shared" si="1"/>
        <v>0</v>
      </c>
      <c r="F16" s="48"/>
      <c r="H16" s="21">
        <f t="shared" si="2"/>
        <v>0</v>
      </c>
      <c r="I16" s="48"/>
      <c r="K16" s="21">
        <f t="shared" si="3"/>
        <v>0</v>
      </c>
      <c r="L16" s="48"/>
      <c r="N16" s="21">
        <f t="shared" si="4"/>
        <v>0</v>
      </c>
      <c r="O16" s="48"/>
      <c r="Q16" s="21">
        <f t="shared" si="5"/>
        <v>0</v>
      </c>
      <c r="R16" s="48"/>
      <c r="T16" s="21">
        <f t="shared" si="6"/>
        <v>0</v>
      </c>
      <c r="U16" s="48"/>
      <c r="W16" s="21">
        <f t="shared" si="7"/>
        <v>0</v>
      </c>
      <c r="X16" s="48"/>
      <c r="Z16" s="21">
        <f t="shared" si="8"/>
        <v>0</v>
      </c>
      <c r="AA16" s="48"/>
      <c r="AC16" s="21">
        <f t="shared" si="9"/>
        <v>0</v>
      </c>
      <c r="AD16" s="48"/>
      <c r="AE16" s="21">
        <v>4.2</v>
      </c>
      <c r="AF16" s="21">
        <f t="shared" si="10"/>
        <v>4.4999999999999991</v>
      </c>
      <c r="AG16" s="48">
        <v>8.6999999999999993</v>
      </c>
      <c r="AH16" s="22">
        <v>4.7</v>
      </c>
      <c r="AI16" s="22"/>
      <c r="AJ16" s="57"/>
      <c r="AK16" s="22"/>
      <c r="AL16" s="22"/>
      <c r="AM16" s="57"/>
      <c r="AN16" s="22"/>
      <c r="AO16" s="22"/>
      <c r="AP16" s="57"/>
      <c r="AQ16" s="22"/>
      <c r="AR16" s="22"/>
      <c r="AS16" s="57"/>
    </row>
    <row r="17" spans="1:45" s="21" customFormat="1" x14ac:dyDescent="0.3">
      <c r="A17" s="14" t="s">
        <v>458</v>
      </c>
      <c r="E17" s="21">
        <f t="shared" si="1"/>
        <v>0</v>
      </c>
      <c r="F17" s="48"/>
      <c r="H17" s="21">
        <f t="shared" si="2"/>
        <v>0</v>
      </c>
      <c r="I17" s="48"/>
      <c r="K17" s="21">
        <f t="shared" si="3"/>
        <v>0</v>
      </c>
      <c r="L17" s="48"/>
      <c r="N17" s="21">
        <f t="shared" si="4"/>
        <v>0</v>
      </c>
      <c r="O17" s="48"/>
      <c r="Q17" s="21">
        <f t="shared" si="5"/>
        <v>0</v>
      </c>
      <c r="R17" s="48"/>
      <c r="T17" s="21">
        <f t="shared" si="6"/>
        <v>0</v>
      </c>
      <c r="U17" s="48"/>
      <c r="W17" s="21">
        <f t="shared" si="7"/>
        <v>0</v>
      </c>
      <c r="X17" s="48"/>
      <c r="Z17" s="21">
        <f t="shared" si="8"/>
        <v>0</v>
      </c>
      <c r="AA17" s="48"/>
      <c r="AC17" s="21">
        <f t="shared" si="9"/>
        <v>0</v>
      </c>
      <c r="AD17" s="48"/>
      <c r="AE17" s="21">
        <v>3.7</v>
      </c>
      <c r="AF17" s="21">
        <f t="shared" si="10"/>
        <v>4.2</v>
      </c>
      <c r="AG17" s="48">
        <v>7.9</v>
      </c>
      <c r="AH17" s="22">
        <v>4.3</v>
      </c>
      <c r="AI17" s="22"/>
      <c r="AJ17" s="57"/>
      <c r="AK17" s="22"/>
      <c r="AL17" s="22"/>
      <c r="AM17" s="57"/>
      <c r="AN17" s="22"/>
      <c r="AO17" s="22"/>
      <c r="AP17" s="57"/>
      <c r="AQ17" s="22"/>
      <c r="AR17" s="22"/>
      <c r="AS17" s="57"/>
    </row>
    <row r="18" spans="1:45" s="21" customFormat="1" x14ac:dyDescent="0.3">
      <c r="A18" s="14" t="s">
        <v>459</v>
      </c>
      <c r="E18" s="21">
        <f t="shared" si="1"/>
        <v>0</v>
      </c>
      <c r="F18" s="48"/>
      <c r="H18" s="21">
        <f t="shared" si="2"/>
        <v>0</v>
      </c>
      <c r="I18" s="48"/>
      <c r="K18" s="21">
        <f t="shared" si="3"/>
        <v>0</v>
      </c>
      <c r="L18" s="48"/>
      <c r="N18" s="21">
        <f t="shared" si="4"/>
        <v>0</v>
      </c>
      <c r="O18" s="48"/>
      <c r="Q18" s="21">
        <f t="shared" si="5"/>
        <v>0</v>
      </c>
      <c r="R18" s="48"/>
      <c r="T18" s="21">
        <f t="shared" si="6"/>
        <v>0</v>
      </c>
      <c r="U18" s="48"/>
      <c r="W18" s="21">
        <f t="shared" si="7"/>
        <v>0</v>
      </c>
      <c r="X18" s="48"/>
      <c r="Z18" s="21">
        <f t="shared" si="8"/>
        <v>0</v>
      </c>
      <c r="AA18" s="48"/>
      <c r="AC18" s="21">
        <f t="shared" si="9"/>
        <v>0</v>
      </c>
      <c r="AD18" s="48"/>
      <c r="AE18" s="21">
        <v>3.2</v>
      </c>
      <c r="AF18" s="21">
        <f t="shared" si="10"/>
        <v>2.8</v>
      </c>
      <c r="AG18" s="48">
        <v>6</v>
      </c>
      <c r="AH18" s="22">
        <v>3.3</v>
      </c>
      <c r="AI18" s="22"/>
      <c r="AJ18" s="57"/>
      <c r="AK18" s="22"/>
      <c r="AL18" s="22"/>
      <c r="AM18" s="57"/>
      <c r="AN18" s="22"/>
      <c r="AO18" s="22"/>
      <c r="AP18" s="57"/>
      <c r="AQ18" s="22"/>
      <c r="AR18" s="22"/>
      <c r="AS18" s="57"/>
    </row>
    <row r="19" spans="1:45" s="21" customFormat="1" x14ac:dyDescent="0.3">
      <c r="A19" s="14" t="s">
        <v>460</v>
      </c>
      <c r="E19" s="21">
        <f t="shared" si="1"/>
        <v>0</v>
      </c>
      <c r="F19" s="48"/>
      <c r="H19" s="21">
        <f t="shared" si="2"/>
        <v>0</v>
      </c>
      <c r="I19" s="48"/>
      <c r="K19" s="21">
        <f t="shared" si="3"/>
        <v>0</v>
      </c>
      <c r="L19" s="48"/>
      <c r="N19" s="21">
        <f t="shared" si="4"/>
        <v>0</v>
      </c>
      <c r="O19" s="48"/>
      <c r="Q19" s="21">
        <f t="shared" si="5"/>
        <v>0</v>
      </c>
      <c r="R19" s="48"/>
      <c r="T19" s="21">
        <f t="shared" si="6"/>
        <v>0</v>
      </c>
      <c r="U19" s="48"/>
      <c r="W19" s="21">
        <f t="shared" si="7"/>
        <v>0</v>
      </c>
      <c r="X19" s="48"/>
      <c r="Z19" s="21">
        <f t="shared" si="8"/>
        <v>0</v>
      </c>
      <c r="AA19" s="48"/>
      <c r="AC19" s="21">
        <f t="shared" si="9"/>
        <v>0</v>
      </c>
      <c r="AD19" s="48"/>
      <c r="AE19" s="21">
        <v>7.7192733529421389</v>
      </c>
      <c r="AF19" s="21">
        <f t="shared" si="10"/>
        <v>11.280726647057918</v>
      </c>
      <c r="AG19" s="48">
        <v>19.000000000000057</v>
      </c>
      <c r="AH19" s="22">
        <v>8.6200000000000045</v>
      </c>
      <c r="AI19" s="22"/>
      <c r="AJ19" s="57"/>
      <c r="AK19" s="22"/>
      <c r="AL19" s="22"/>
      <c r="AM19" s="57"/>
      <c r="AN19" s="22"/>
      <c r="AO19" s="22"/>
      <c r="AP19" s="57"/>
      <c r="AQ19" s="22"/>
      <c r="AR19" s="22"/>
      <c r="AS19" s="57"/>
    </row>
    <row r="20" spans="1:45" s="30" customFormat="1" ht="14.5" thickBot="1" x14ac:dyDescent="0.35">
      <c r="A20" s="15" t="s">
        <v>115</v>
      </c>
      <c r="B20" s="28"/>
      <c r="C20" s="28"/>
      <c r="D20" s="29" t="e">
        <f>IF(Database!#REF!&gt;0,Database!#REF!,"")</f>
        <v>#REF!</v>
      </c>
      <c r="E20" s="29" t="e">
        <f>IF(Database!#REF!&gt;0,Database!#REF!,"")</f>
        <v>#REF!</v>
      </c>
      <c r="F20" s="52" t="e">
        <f>IF(Database!#REF!&gt;0,Database!#REF!,"")</f>
        <v>#REF!</v>
      </c>
      <c r="G20" s="29" t="e">
        <f>IF(Database!#REF!&gt;0,Database!#REF!,"")</f>
        <v>#REF!</v>
      </c>
      <c r="H20" s="29" t="e">
        <f>IF(Database!#REF!&gt;0,Database!#REF!,"")</f>
        <v>#REF!</v>
      </c>
      <c r="I20" s="52" t="e">
        <f>IF(Database!#REF!&gt;0,Database!#REF!,"")</f>
        <v>#REF!</v>
      </c>
      <c r="J20" s="29" t="e">
        <f>IF(Database!#REF!&gt;0,Database!#REF!,"")</f>
        <v>#REF!</v>
      </c>
      <c r="K20" s="29" t="e">
        <f>IF(Database!#REF!&gt;0,Database!#REF!,"")</f>
        <v>#REF!</v>
      </c>
      <c r="L20" s="52" t="e">
        <f>IF(Database!#REF!&gt;0,Database!#REF!,"")</f>
        <v>#REF!</v>
      </c>
      <c r="M20" s="29" t="e">
        <f>IF(Database!#REF!&gt;0,Database!#REF!,"")</f>
        <v>#REF!</v>
      </c>
      <c r="N20" s="29" t="e">
        <f>IF(Database!#REF!&gt;0,Database!#REF!,"")</f>
        <v>#REF!</v>
      </c>
      <c r="O20" s="52" t="e">
        <f>IF(Database!#REF!&gt;0,Database!#REF!,"")</f>
        <v>#REF!</v>
      </c>
      <c r="P20" s="29" t="e">
        <f>IF(Database!#REF!&gt;0,Database!#REF!,"")</f>
        <v>#REF!</v>
      </c>
      <c r="Q20" s="29" t="e">
        <f>IF(Database!#REF!&gt;0,Database!#REF!,"")</f>
        <v>#REF!</v>
      </c>
      <c r="R20" s="52" t="e">
        <f>IF(Database!#REF!&gt;0,Database!#REF!,"")</f>
        <v>#REF!</v>
      </c>
      <c r="S20" s="29" t="e">
        <f>IF(Database!#REF!&gt;0,Database!#REF!,"")</f>
        <v>#REF!</v>
      </c>
      <c r="T20" s="29" t="e">
        <f>IF(Database!#REF!&gt;0,Database!#REF!,"")</f>
        <v>#REF!</v>
      </c>
      <c r="U20" s="52" t="e">
        <f>IF(Database!#REF!&gt;0,Database!#REF!,"")</f>
        <v>#REF!</v>
      </c>
      <c r="V20" s="29">
        <f>IF(Database!T28&gt;0,Database!T28,"")</f>
        <v>93.799999999999955</v>
      </c>
      <c r="W20" s="29">
        <f>IF(Database!U28&gt;0,Database!U28,"")</f>
        <v>102.00000000000006</v>
      </c>
      <c r="X20" s="52">
        <f>IF(Database!V28&gt;0,Database!V28,"")</f>
        <v>195.8</v>
      </c>
      <c r="Y20" s="29">
        <f>IF(Database!W28&gt;0,Database!W28,"")</f>
        <v>109.2</v>
      </c>
      <c r="Z20" s="29">
        <f>IF(Database!X28&gt;0,Database!X28,"")</f>
        <v>120.7</v>
      </c>
      <c r="AA20" s="52">
        <f>IF(Database!Y28&gt;0,Database!Y28,"")</f>
        <v>229.9</v>
      </c>
      <c r="AB20" s="29">
        <f>IF(Database!Z28&gt;0,Database!Z28,"")</f>
        <v>141.5</v>
      </c>
      <c r="AC20" s="29">
        <f>IF(Database!AA28&gt;0,Database!AA28,"")</f>
        <v>149.19999999999999</v>
      </c>
      <c r="AD20" s="52">
        <f>IF(Database!AB28&gt;0,Database!AB28,"")</f>
        <v>290.7</v>
      </c>
      <c r="AE20" s="29">
        <f>IF(Database!AC28&gt;0,Database!AC28,"")</f>
        <v>163.69999999999999</v>
      </c>
      <c r="AF20" s="29">
        <f>IF(Database!AD28&gt;0,Database!AD28,"")</f>
        <v>175.5</v>
      </c>
      <c r="AG20" s="52">
        <f>IF(Database!AE28&gt;0,Database!AE28,"")</f>
        <v>339.2</v>
      </c>
      <c r="AH20" s="29">
        <f>IF(Database!AF28&gt;0,Database!AF28,"")</f>
        <v>181.1</v>
      </c>
      <c r="AI20" s="29">
        <f>IF(Database!AG28&gt;0,Database!AG28,"")</f>
        <v>186.5</v>
      </c>
      <c r="AJ20" s="52">
        <f>IF(Database!AH28&gt;0,Database!AH28,"")</f>
        <v>367.6</v>
      </c>
      <c r="AK20" s="29"/>
      <c r="AL20" s="29"/>
      <c r="AM20" s="59"/>
      <c r="AN20" s="29"/>
      <c r="AO20" s="29"/>
      <c r="AP20" s="59"/>
      <c r="AQ20" s="29"/>
      <c r="AR20" s="29"/>
      <c r="AS20" s="59"/>
    </row>
    <row r="21" spans="1:45" ht="14.5" thickTop="1" x14ac:dyDescent="0.3">
      <c r="D21" s="11"/>
      <c r="E21" s="11"/>
      <c r="F21" s="47"/>
      <c r="G21" s="11"/>
      <c r="H21" s="11"/>
      <c r="I21" s="47"/>
      <c r="J21" s="11"/>
      <c r="K21" s="11"/>
      <c r="L21" s="47"/>
      <c r="M21" s="11"/>
      <c r="N21" s="11"/>
      <c r="O21" s="47"/>
      <c r="P21" s="11"/>
      <c r="Q21" s="11"/>
      <c r="R21" s="47"/>
      <c r="S21" s="11"/>
      <c r="T21" s="11"/>
      <c r="U21" s="47"/>
      <c r="V21" s="11"/>
      <c r="W21" s="11"/>
      <c r="X21" s="47"/>
      <c r="Y21" s="11"/>
      <c r="Z21" s="11"/>
      <c r="AA21" s="47"/>
      <c r="AB21" s="11"/>
      <c r="AC21" s="11"/>
      <c r="AD21" s="47"/>
      <c r="AE21" s="11"/>
      <c r="AF21" s="11"/>
      <c r="AG21" s="47"/>
      <c r="AH21" s="11"/>
      <c r="AI21" s="11"/>
      <c r="AK21" s="11"/>
      <c r="AL21" s="11"/>
      <c r="AN21" s="11"/>
      <c r="AO21" s="11"/>
      <c r="AQ21" s="11"/>
      <c r="AR21" s="11"/>
    </row>
    <row r="22" spans="1:45" s="215" customFormat="1" x14ac:dyDescent="0.3">
      <c r="A22" s="208" t="s">
        <v>461</v>
      </c>
      <c r="B22" s="208"/>
      <c r="C22" s="208"/>
      <c r="D22" s="208"/>
      <c r="E22" s="208"/>
      <c r="F22" s="214"/>
      <c r="G22" s="208"/>
      <c r="H22" s="208"/>
      <c r="I22" s="214"/>
      <c r="J22" s="208"/>
      <c r="K22" s="208"/>
      <c r="L22" s="214"/>
      <c r="M22" s="208"/>
      <c r="N22" s="208"/>
      <c r="O22" s="214"/>
      <c r="P22" s="208"/>
      <c r="Q22" s="208"/>
      <c r="R22" s="214"/>
      <c r="S22" s="208"/>
      <c r="T22" s="208"/>
      <c r="U22" s="214"/>
      <c r="V22" s="208"/>
      <c r="W22" s="208"/>
      <c r="X22" s="214"/>
      <c r="Y22" s="208"/>
      <c r="Z22" s="208"/>
      <c r="AA22" s="214"/>
      <c r="AB22" s="208"/>
      <c r="AC22" s="208"/>
      <c r="AD22" s="214"/>
      <c r="AE22" s="208"/>
      <c r="AF22" s="208"/>
      <c r="AG22" s="214"/>
      <c r="AH22" s="208"/>
      <c r="AI22" s="208"/>
      <c r="AJ22" s="208"/>
      <c r="AK22" s="208"/>
      <c r="AL22" s="208"/>
      <c r="AM22" s="208"/>
      <c r="AN22" s="208"/>
      <c r="AO22" s="208"/>
      <c r="AP22" s="208"/>
      <c r="AQ22" s="208"/>
      <c r="AR22" s="208"/>
      <c r="AS22" s="208"/>
    </row>
    <row r="23" spans="1:45" s="25" customFormat="1" ht="14.5" x14ac:dyDescent="0.35">
      <c r="A23" s="14" t="s">
        <v>449</v>
      </c>
      <c r="B23" s="23"/>
      <c r="C23" s="23"/>
      <c r="D23" s="24"/>
      <c r="E23" s="24"/>
      <c r="F23" s="49"/>
      <c r="G23" s="24"/>
      <c r="H23" s="24"/>
      <c r="I23" s="49"/>
      <c r="J23" s="24"/>
      <c r="K23" s="24"/>
      <c r="L23" s="49"/>
      <c r="M23" s="24"/>
      <c r="N23" s="24"/>
      <c r="O23" s="49"/>
      <c r="P23" s="24"/>
      <c r="Q23" s="24"/>
      <c r="R23" s="49"/>
      <c r="S23" s="24"/>
      <c r="T23" s="24"/>
      <c r="U23" s="49"/>
      <c r="V23" s="24"/>
      <c r="W23" s="24"/>
      <c r="X23" s="49"/>
      <c r="Y23" s="24"/>
      <c r="Z23" s="24"/>
      <c r="AA23" s="49"/>
      <c r="AB23" s="24"/>
      <c r="AC23" s="24"/>
      <c r="AD23" s="49"/>
      <c r="AE23" s="24"/>
      <c r="AF23" s="24"/>
      <c r="AG23" s="49">
        <v>0.14000000000000001</v>
      </c>
      <c r="AH23" s="24">
        <v>0.05</v>
      </c>
      <c r="AI23" s="24"/>
      <c r="AJ23" s="58"/>
      <c r="AK23" s="24"/>
      <c r="AL23" s="24"/>
      <c r="AM23" s="58"/>
      <c r="AN23" s="24"/>
      <c r="AO23" s="24"/>
      <c r="AP23" s="58"/>
      <c r="AQ23" s="24"/>
      <c r="AR23" s="24"/>
      <c r="AS23" s="58"/>
    </row>
    <row r="24" spans="1:45" s="25" customFormat="1" ht="14.5" x14ac:dyDescent="0.35">
      <c r="A24" s="14" t="s">
        <v>428</v>
      </c>
      <c r="B24" s="23"/>
      <c r="C24" s="23"/>
      <c r="D24" s="24"/>
      <c r="E24" s="24"/>
      <c r="F24" s="49"/>
      <c r="G24" s="24"/>
      <c r="H24" s="24"/>
      <c r="I24" s="49"/>
      <c r="J24" s="24"/>
      <c r="K24" s="24"/>
      <c r="L24" s="49"/>
      <c r="M24" s="24"/>
      <c r="N24" s="24"/>
      <c r="O24" s="49"/>
      <c r="P24" s="24"/>
      <c r="Q24" s="24"/>
      <c r="R24" s="49"/>
      <c r="S24" s="24"/>
      <c r="T24" s="24"/>
      <c r="U24" s="49"/>
      <c r="V24" s="24"/>
      <c r="W24" s="24"/>
      <c r="X24" s="49"/>
      <c r="Y24" s="24"/>
      <c r="Z24" s="24"/>
      <c r="AA24" s="49"/>
      <c r="AB24" s="24"/>
      <c r="AC24" s="24"/>
      <c r="AD24" s="49"/>
      <c r="AE24" s="24"/>
      <c r="AF24" s="24"/>
      <c r="AG24" s="49">
        <v>0.28000000000000003</v>
      </c>
      <c r="AH24" s="24">
        <v>0.17</v>
      </c>
      <c r="AI24" s="24"/>
      <c r="AJ24" s="58"/>
      <c r="AK24" s="24"/>
      <c r="AL24" s="24"/>
      <c r="AM24" s="58"/>
      <c r="AN24" s="24"/>
      <c r="AO24" s="24"/>
      <c r="AP24" s="58"/>
      <c r="AQ24" s="24"/>
      <c r="AR24" s="24"/>
      <c r="AS24" s="58"/>
    </row>
    <row r="25" spans="1:45" s="25" customFormat="1" ht="14.5" x14ac:dyDescent="0.35">
      <c r="A25" s="14" t="s">
        <v>450</v>
      </c>
      <c r="B25" s="23"/>
      <c r="C25" s="23"/>
      <c r="D25" s="24"/>
      <c r="E25" s="24"/>
      <c r="F25" s="49"/>
      <c r="G25" s="24"/>
      <c r="H25" s="24"/>
      <c r="I25" s="49"/>
      <c r="J25" s="24"/>
      <c r="K25" s="24"/>
      <c r="L25" s="49"/>
      <c r="M25" s="24"/>
      <c r="N25" s="24"/>
      <c r="O25" s="49"/>
      <c r="P25" s="24"/>
      <c r="Q25" s="24"/>
      <c r="R25" s="49"/>
      <c r="S25" s="24"/>
      <c r="T25" s="24"/>
      <c r="U25" s="49"/>
      <c r="V25" s="24"/>
      <c r="W25" s="24"/>
      <c r="X25" s="49"/>
      <c r="Y25" s="24"/>
      <c r="Z25" s="24"/>
      <c r="AA25" s="49"/>
      <c r="AB25" s="24"/>
      <c r="AC25" s="24"/>
      <c r="AD25" s="49"/>
      <c r="AE25" s="24"/>
      <c r="AF25" s="24"/>
      <c r="AG25" s="49"/>
      <c r="AH25" s="24">
        <v>-0.01</v>
      </c>
      <c r="AI25" s="24"/>
      <c r="AJ25" s="58"/>
      <c r="AK25" s="24"/>
      <c r="AL25" s="24"/>
      <c r="AM25" s="58"/>
      <c r="AN25" s="24"/>
      <c r="AO25" s="24"/>
      <c r="AP25" s="58"/>
      <c r="AQ25" s="24"/>
      <c r="AR25" s="24"/>
      <c r="AS25" s="58"/>
    </row>
    <row r="26" spans="1:45" s="25" customFormat="1" ht="14.5" x14ac:dyDescent="0.35">
      <c r="A26" s="14" t="s">
        <v>451</v>
      </c>
      <c r="B26" s="23"/>
      <c r="C26" s="23"/>
      <c r="D26" s="24"/>
      <c r="E26" s="24"/>
      <c r="F26" s="49"/>
      <c r="G26" s="24"/>
      <c r="H26" s="24"/>
      <c r="I26" s="49"/>
      <c r="J26" s="24"/>
      <c r="K26" s="24"/>
      <c r="L26" s="49"/>
      <c r="M26" s="24"/>
      <c r="N26" s="24"/>
      <c r="O26" s="49"/>
      <c r="P26" s="24"/>
      <c r="Q26" s="24"/>
      <c r="R26" s="49"/>
      <c r="S26" s="24"/>
      <c r="T26" s="24"/>
      <c r="U26" s="49"/>
      <c r="V26" s="24"/>
      <c r="W26" s="24"/>
      <c r="X26" s="49"/>
      <c r="Y26" s="24"/>
      <c r="Z26" s="24"/>
      <c r="AA26" s="49"/>
      <c r="AB26" s="24"/>
      <c r="AC26" s="24"/>
      <c r="AD26" s="49"/>
      <c r="AE26" s="24"/>
      <c r="AF26" s="24"/>
      <c r="AG26" s="49"/>
      <c r="AH26" s="24">
        <v>0.31</v>
      </c>
      <c r="AI26" s="24"/>
      <c r="AJ26" s="58"/>
      <c r="AK26" s="24"/>
      <c r="AL26" s="24"/>
      <c r="AM26" s="58"/>
      <c r="AN26" s="24"/>
      <c r="AO26" s="24"/>
      <c r="AP26" s="58"/>
      <c r="AQ26" s="24"/>
      <c r="AR26" s="24"/>
      <c r="AS26" s="58"/>
    </row>
    <row r="27" spans="1:45" s="25" customFormat="1" ht="14.5" x14ac:dyDescent="0.35">
      <c r="A27" s="14" t="s">
        <v>452</v>
      </c>
      <c r="B27" s="23"/>
      <c r="C27" s="23"/>
      <c r="D27" s="24"/>
      <c r="E27" s="24"/>
      <c r="F27" s="49"/>
      <c r="G27" s="24"/>
      <c r="H27" s="24"/>
      <c r="I27" s="49"/>
      <c r="J27" s="24"/>
      <c r="K27" s="24"/>
      <c r="L27" s="49"/>
      <c r="M27" s="24"/>
      <c r="N27" s="24"/>
      <c r="O27" s="49"/>
      <c r="P27" s="24"/>
      <c r="Q27" s="24"/>
      <c r="R27" s="49"/>
      <c r="S27" s="24"/>
      <c r="T27" s="24"/>
      <c r="U27" s="49"/>
      <c r="V27" s="24"/>
      <c r="W27" s="24"/>
      <c r="X27" s="49"/>
      <c r="Y27" s="24"/>
      <c r="Z27" s="24"/>
      <c r="AA27" s="49"/>
      <c r="AB27" s="24"/>
      <c r="AC27" s="24"/>
      <c r="AD27" s="49"/>
      <c r="AE27" s="24"/>
      <c r="AF27" s="24"/>
      <c r="AG27" s="49">
        <v>0.16</v>
      </c>
      <c r="AH27" s="24">
        <v>0.27</v>
      </c>
      <c r="AI27" s="24"/>
      <c r="AJ27" s="58"/>
      <c r="AK27" s="24"/>
      <c r="AL27" s="24"/>
      <c r="AM27" s="58"/>
      <c r="AN27" s="24"/>
      <c r="AO27" s="24"/>
      <c r="AP27" s="58"/>
      <c r="AQ27" s="24"/>
      <c r="AR27" s="24"/>
      <c r="AS27" s="58"/>
    </row>
    <row r="28" spans="1:45" s="25" customFormat="1" ht="14.5" x14ac:dyDescent="0.35">
      <c r="A28" s="14" t="s">
        <v>453</v>
      </c>
      <c r="B28" s="23"/>
      <c r="C28" s="23"/>
      <c r="D28" s="24"/>
      <c r="E28" s="24"/>
      <c r="F28" s="49"/>
      <c r="G28" s="24"/>
      <c r="H28" s="24"/>
      <c r="I28" s="49"/>
      <c r="J28" s="24"/>
      <c r="K28" s="24"/>
      <c r="L28" s="49"/>
      <c r="M28" s="24"/>
      <c r="N28" s="24"/>
      <c r="O28" s="49"/>
      <c r="P28" s="24"/>
      <c r="Q28" s="24"/>
      <c r="R28" s="49"/>
      <c r="S28" s="24"/>
      <c r="T28" s="24"/>
      <c r="U28" s="49"/>
      <c r="V28" s="24"/>
      <c r="W28" s="24"/>
      <c r="X28" s="49"/>
      <c r="Y28" s="24"/>
      <c r="Z28" s="24"/>
      <c r="AA28" s="49"/>
      <c r="AB28" s="24"/>
      <c r="AC28" s="24"/>
      <c r="AD28" s="49"/>
      <c r="AE28" s="24"/>
      <c r="AF28" s="24"/>
      <c r="AG28" s="49">
        <v>0.04</v>
      </c>
      <c r="AH28" s="24">
        <v>0</v>
      </c>
      <c r="AI28" s="24"/>
      <c r="AJ28" s="58"/>
      <c r="AK28" s="24"/>
      <c r="AL28" s="24"/>
      <c r="AM28" s="58"/>
      <c r="AN28" s="24"/>
      <c r="AO28" s="24"/>
      <c r="AP28" s="58"/>
      <c r="AQ28" s="24"/>
      <c r="AR28" s="24"/>
      <c r="AS28" s="58"/>
    </row>
    <row r="29" spans="1:45" s="25" customFormat="1" ht="14.5" x14ac:dyDescent="0.35">
      <c r="A29" s="14" t="s">
        <v>454</v>
      </c>
      <c r="B29" s="23"/>
      <c r="C29" s="23"/>
      <c r="D29" s="24"/>
      <c r="E29" s="24"/>
      <c r="F29" s="49"/>
      <c r="G29" s="24"/>
      <c r="H29" s="24"/>
      <c r="I29" s="49"/>
      <c r="J29" s="24"/>
      <c r="K29" s="24"/>
      <c r="L29" s="49"/>
      <c r="M29" s="24"/>
      <c r="N29" s="24"/>
      <c r="O29" s="49"/>
      <c r="P29" s="24"/>
      <c r="Q29" s="24"/>
      <c r="R29" s="49"/>
      <c r="S29" s="24"/>
      <c r="T29" s="24"/>
      <c r="U29" s="49"/>
      <c r="V29" s="24"/>
      <c r="W29" s="24"/>
      <c r="X29" s="49"/>
      <c r="Y29" s="24"/>
      <c r="Z29" s="24"/>
      <c r="AA29" s="49"/>
      <c r="AB29" s="24"/>
      <c r="AC29" s="24"/>
      <c r="AD29" s="49"/>
      <c r="AE29" s="24"/>
      <c r="AF29" s="24"/>
      <c r="AG29" s="49">
        <v>0.13</v>
      </c>
      <c r="AH29" s="24">
        <v>7.0000000000000007E-2</v>
      </c>
      <c r="AI29" s="24"/>
      <c r="AJ29" s="58"/>
      <c r="AK29" s="24"/>
      <c r="AL29" s="24"/>
      <c r="AM29" s="58"/>
      <c r="AN29" s="24"/>
      <c r="AO29" s="24"/>
      <c r="AP29" s="58"/>
      <c r="AQ29" s="24"/>
      <c r="AR29" s="24"/>
      <c r="AS29" s="58"/>
    </row>
    <row r="30" spans="1:45" s="25" customFormat="1" ht="14.5" x14ac:dyDescent="0.35">
      <c r="A30" s="14" t="s">
        <v>455</v>
      </c>
      <c r="B30" s="23"/>
      <c r="C30" s="23"/>
      <c r="D30" s="24"/>
      <c r="E30" s="24"/>
      <c r="F30" s="49"/>
      <c r="G30" s="24"/>
      <c r="H30" s="24"/>
      <c r="I30" s="49"/>
      <c r="J30" s="24"/>
      <c r="K30" s="24"/>
      <c r="L30" s="49"/>
      <c r="M30" s="24"/>
      <c r="N30" s="24"/>
      <c r="O30" s="49"/>
      <c r="P30" s="24"/>
      <c r="Q30" s="24"/>
      <c r="R30" s="49"/>
      <c r="S30" s="24"/>
      <c r="T30" s="24"/>
      <c r="U30" s="49"/>
      <c r="V30" s="24"/>
      <c r="W30" s="24"/>
      <c r="X30" s="49"/>
      <c r="Y30" s="24"/>
      <c r="Z30" s="24"/>
      <c r="AA30" s="49"/>
      <c r="AB30" s="24"/>
      <c r="AC30" s="24"/>
      <c r="AD30" s="49"/>
      <c r="AE30" s="24"/>
      <c r="AF30" s="24"/>
      <c r="AG30" s="49">
        <v>0.15</v>
      </c>
      <c r="AH30" s="24">
        <v>0.18</v>
      </c>
      <c r="AI30" s="24"/>
      <c r="AJ30" s="58"/>
      <c r="AK30" s="24"/>
      <c r="AL30" s="24"/>
      <c r="AM30" s="58"/>
      <c r="AN30" s="24"/>
      <c r="AO30" s="24"/>
      <c r="AP30" s="58"/>
      <c r="AQ30" s="24"/>
      <c r="AR30" s="24"/>
      <c r="AS30" s="58"/>
    </row>
    <row r="31" spans="1:45" s="25" customFormat="1" ht="14.5" x14ac:dyDescent="0.35">
      <c r="A31" s="14" t="s">
        <v>456</v>
      </c>
      <c r="B31" s="23"/>
      <c r="C31" s="23"/>
      <c r="D31" s="24"/>
      <c r="E31" s="24"/>
      <c r="F31" s="49"/>
      <c r="G31" s="24"/>
      <c r="H31" s="24"/>
      <c r="I31" s="49"/>
      <c r="J31" s="24"/>
      <c r="K31" s="24"/>
      <c r="L31" s="49"/>
      <c r="M31" s="24"/>
      <c r="N31" s="24"/>
      <c r="O31" s="49"/>
      <c r="P31" s="24"/>
      <c r="Q31" s="24"/>
      <c r="R31" s="49"/>
      <c r="S31" s="24"/>
      <c r="T31" s="24"/>
      <c r="U31" s="49"/>
      <c r="V31" s="24"/>
      <c r="W31" s="24"/>
      <c r="X31" s="49"/>
      <c r="Y31" s="24"/>
      <c r="Z31" s="24"/>
      <c r="AA31" s="49"/>
      <c r="AB31" s="24"/>
      <c r="AC31" s="24"/>
      <c r="AD31" s="49"/>
      <c r="AE31" s="24"/>
      <c r="AF31" s="24"/>
      <c r="AG31" s="49">
        <v>0.19</v>
      </c>
      <c r="AH31" s="24">
        <v>0.09</v>
      </c>
      <c r="AI31" s="24"/>
      <c r="AJ31" s="58"/>
      <c r="AK31" s="24"/>
      <c r="AL31" s="24"/>
      <c r="AM31" s="58"/>
      <c r="AN31" s="24"/>
      <c r="AO31" s="24"/>
      <c r="AP31" s="58"/>
      <c r="AQ31" s="24"/>
      <c r="AR31" s="24"/>
      <c r="AS31" s="58"/>
    </row>
    <row r="32" spans="1:45" s="25" customFormat="1" ht="14.5" x14ac:dyDescent="0.35">
      <c r="A32" s="14" t="s">
        <v>457</v>
      </c>
      <c r="B32" s="23"/>
      <c r="C32" s="23"/>
      <c r="D32" s="24"/>
      <c r="E32" s="24"/>
      <c r="F32" s="49"/>
      <c r="G32" s="24"/>
      <c r="H32" s="24"/>
      <c r="I32" s="49"/>
      <c r="J32" s="24"/>
      <c r="K32" s="24"/>
      <c r="L32" s="49"/>
      <c r="M32" s="24"/>
      <c r="N32" s="24"/>
      <c r="O32" s="49"/>
      <c r="P32" s="24"/>
      <c r="Q32" s="24"/>
      <c r="R32" s="49"/>
      <c r="S32" s="24"/>
      <c r="T32" s="24"/>
      <c r="U32" s="49"/>
      <c r="V32" s="24"/>
      <c r="W32" s="24"/>
      <c r="X32" s="49"/>
      <c r="Y32" s="24"/>
      <c r="Z32" s="24"/>
      <c r="AA32" s="49"/>
      <c r="AB32" s="24"/>
      <c r="AC32" s="24"/>
      <c r="AD32" s="49"/>
      <c r="AE32" s="24"/>
      <c r="AF32" s="24"/>
      <c r="AG32" s="49">
        <v>0.26</v>
      </c>
      <c r="AH32" s="24">
        <v>0.24</v>
      </c>
      <c r="AI32" s="24"/>
      <c r="AJ32" s="58"/>
      <c r="AK32" s="24"/>
      <c r="AL32" s="24"/>
      <c r="AM32" s="58"/>
      <c r="AN32" s="24"/>
      <c r="AO32" s="24"/>
      <c r="AP32" s="58"/>
      <c r="AQ32" s="24"/>
      <c r="AR32" s="24"/>
      <c r="AS32" s="58"/>
    </row>
    <row r="33" spans="1:45" s="25" customFormat="1" ht="14.5" x14ac:dyDescent="0.35">
      <c r="A33" s="14" t="s">
        <v>458</v>
      </c>
      <c r="B33" s="23"/>
      <c r="C33" s="23"/>
      <c r="D33" s="24"/>
      <c r="E33" s="24"/>
      <c r="F33" s="49"/>
      <c r="G33" s="24"/>
      <c r="H33" s="24"/>
      <c r="I33" s="49"/>
      <c r="J33" s="24"/>
      <c r="K33" s="24"/>
      <c r="L33" s="49"/>
      <c r="M33" s="24"/>
      <c r="N33" s="24"/>
      <c r="O33" s="49"/>
      <c r="P33" s="24"/>
      <c r="Q33" s="24"/>
      <c r="R33" s="49"/>
      <c r="S33" s="24"/>
      <c r="T33" s="24"/>
      <c r="U33" s="49"/>
      <c r="V33" s="24"/>
      <c r="W33" s="24"/>
      <c r="X33" s="49"/>
      <c r="Y33" s="24"/>
      <c r="Z33" s="24"/>
      <c r="AA33" s="49"/>
      <c r="AB33" s="24"/>
      <c r="AC33" s="24"/>
      <c r="AD33" s="49"/>
      <c r="AE33" s="24"/>
      <c r="AF33" s="24"/>
      <c r="AG33" s="49">
        <v>0.22</v>
      </c>
      <c r="AH33" s="24">
        <v>0.15</v>
      </c>
      <c r="AI33" s="24"/>
      <c r="AJ33" s="58"/>
      <c r="AK33" s="24"/>
      <c r="AL33" s="24"/>
      <c r="AM33" s="58"/>
      <c r="AN33" s="24"/>
      <c r="AO33" s="24"/>
      <c r="AP33" s="58"/>
      <c r="AQ33" s="24"/>
      <c r="AR33" s="24"/>
      <c r="AS33" s="58"/>
    </row>
    <row r="34" spans="1:45" s="25" customFormat="1" ht="14.5" x14ac:dyDescent="0.35">
      <c r="A34" s="14" t="s">
        <v>459</v>
      </c>
      <c r="B34" s="23"/>
      <c r="C34" s="23"/>
      <c r="D34" s="24"/>
      <c r="E34" s="24"/>
      <c r="F34" s="49"/>
      <c r="G34" s="24"/>
      <c r="H34" s="24"/>
      <c r="I34" s="49"/>
      <c r="J34" s="24"/>
      <c r="K34" s="24"/>
      <c r="L34" s="49"/>
      <c r="M34" s="24"/>
      <c r="N34" s="24"/>
      <c r="O34" s="49"/>
      <c r="P34" s="24"/>
      <c r="Q34" s="24"/>
      <c r="R34" s="49"/>
      <c r="S34" s="24"/>
      <c r="T34" s="24"/>
      <c r="U34" s="49"/>
      <c r="V34" s="24"/>
      <c r="W34" s="24"/>
      <c r="X34" s="49"/>
      <c r="Y34" s="24"/>
      <c r="Z34" s="24"/>
      <c r="AA34" s="49"/>
      <c r="AB34" s="24"/>
      <c r="AC34" s="24"/>
      <c r="AD34" s="49"/>
      <c r="AE34" s="24"/>
      <c r="AF34" s="24"/>
      <c r="AG34" s="49">
        <v>-0.12</v>
      </c>
      <c r="AH34" s="24">
        <v>0.03</v>
      </c>
      <c r="AI34" s="24"/>
      <c r="AJ34" s="58"/>
      <c r="AK34" s="24"/>
      <c r="AL34" s="24"/>
      <c r="AM34" s="58"/>
      <c r="AN34" s="24"/>
      <c r="AO34" s="24"/>
      <c r="AP34" s="58"/>
      <c r="AQ34" s="24"/>
      <c r="AR34" s="24"/>
      <c r="AS34" s="58"/>
    </row>
    <row r="35" spans="1:45" s="25" customFormat="1" ht="14.5" x14ac:dyDescent="0.35">
      <c r="A35" s="14" t="s">
        <v>460</v>
      </c>
      <c r="B35" s="23"/>
      <c r="C35" s="23"/>
      <c r="D35" s="24"/>
      <c r="E35" s="24"/>
      <c r="F35" s="49"/>
      <c r="G35" s="24"/>
      <c r="H35" s="24"/>
      <c r="I35" s="49"/>
      <c r="J35" s="24"/>
      <c r="K35" s="24"/>
      <c r="L35" s="49"/>
      <c r="M35" s="24"/>
      <c r="N35" s="24"/>
      <c r="O35" s="49"/>
      <c r="P35" s="24"/>
      <c r="Q35" s="24"/>
      <c r="R35" s="49"/>
      <c r="S35" s="24"/>
      <c r="T35" s="24"/>
      <c r="U35" s="49"/>
      <c r="V35" s="24"/>
      <c r="W35" s="24"/>
      <c r="X35" s="49"/>
      <c r="Y35" s="24"/>
      <c r="Z35" s="24"/>
      <c r="AA35" s="49"/>
      <c r="AB35" s="24"/>
      <c r="AC35" s="24"/>
      <c r="AD35" s="49"/>
      <c r="AE35" s="24"/>
      <c r="AF35" s="24"/>
      <c r="AG35" s="49">
        <v>0.18</v>
      </c>
      <c r="AH35" s="24">
        <v>0.14000000000000001</v>
      </c>
      <c r="AI35" s="24"/>
      <c r="AJ35" s="58"/>
      <c r="AK35" s="24"/>
      <c r="AL35" s="24"/>
      <c r="AM35" s="58"/>
      <c r="AN35" s="24"/>
      <c r="AO35" s="24"/>
      <c r="AP35" s="58"/>
      <c r="AQ35" s="24"/>
      <c r="AR35" s="24"/>
      <c r="AS35" s="58"/>
    </row>
    <row r="36" spans="1:45" s="87" customFormat="1" ht="14.5" thickBot="1" x14ac:dyDescent="0.35">
      <c r="A36" s="82" t="s">
        <v>109</v>
      </c>
      <c r="B36" s="83"/>
      <c r="C36" s="83"/>
      <c r="D36" s="84" t="e">
        <f>IF(Database!#REF!&gt;0,Database!#REF!,"")</f>
        <v>#REF!</v>
      </c>
      <c r="E36" s="84" t="e">
        <f>IF(Database!#REF!&gt;0,Database!#REF!,"")</f>
        <v>#REF!</v>
      </c>
      <c r="F36" s="85" t="e">
        <f>IF(Database!#REF!&gt;0,Database!#REF!,"")</f>
        <v>#REF!</v>
      </c>
      <c r="G36" s="84" t="e">
        <f>IF(Database!#REF!&gt;0,Database!#REF!,"")</f>
        <v>#REF!</v>
      </c>
      <c r="H36" s="84" t="e">
        <f>IF(Database!#REF!&gt;0,Database!#REF!,"")</f>
        <v>#REF!</v>
      </c>
      <c r="I36" s="85" t="e">
        <f>IF(Database!#REF!&gt;0,Database!#REF!,"")</f>
        <v>#REF!</v>
      </c>
      <c r="J36" s="84" t="e">
        <f>IF(Database!#REF!&gt;0,Database!#REF!,"")</f>
        <v>#REF!</v>
      </c>
      <c r="K36" s="84" t="e">
        <f>IF(Database!#REF!&gt;0,Database!#REF!,"")</f>
        <v>#REF!</v>
      </c>
      <c r="L36" s="85" t="e">
        <f>IF(Database!#REF!&gt;0,Database!#REF!,"")</f>
        <v>#REF!</v>
      </c>
      <c r="M36" s="84" t="e">
        <f>IF(Database!#REF!&gt;0,Database!#REF!,"")</f>
        <v>#REF!</v>
      </c>
      <c r="N36" s="84" t="e">
        <f>IF(Database!#REF!&gt;0,Database!#REF!,"")</f>
        <v>#REF!</v>
      </c>
      <c r="O36" s="85" t="e">
        <f>IF(Database!#REF!&gt;0,Database!#REF!,"")</f>
        <v>#REF!</v>
      </c>
      <c r="P36" s="84" t="e">
        <f>IF(Database!#REF!&gt;0,Database!#REF!,"")</f>
        <v>#REF!</v>
      </c>
      <c r="Q36" s="84" t="e">
        <f>IF(Database!#REF!&gt;0,Database!#REF!,"")</f>
        <v>#REF!</v>
      </c>
      <c r="R36" s="85" t="e">
        <f>IF(Database!#REF!&gt;0,Database!#REF!,"")</f>
        <v>#REF!</v>
      </c>
      <c r="S36" s="84" t="e">
        <f>IF(Database!#REF!&gt;0,Database!#REF!,"")</f>
        <v>#REF!</v>
      </c>
      <c r="T36" s="84" t="e">
        <f>IF(Database!#REF!&gt;0,Database!#REF!,"")</f>
        <v>#REF!</v>
      </c>
      <c r="U36" s="85" t="e">
        <f>IF(Database!#REF!&gt;0,Database!#REF!,"")</f>
        <v>#REF!</v>
      </c>
      <c r="V36" s="84" t="str">
        <f>IF(Database!T30&gt;0,Database!T30,"")</f>
        <v/>
      </c>
      <c r="W36" s="84" t="str">
        <f>IF(Database!U30&gt;0,Database!U30,"")</f>
        <v/>
      </c>
      <c r="X36" s="85" t="str">
        <f>IF(Database!V30&gt;0,Database!V30,"")</f>
        <v/>
      </c>
      <c r="Y36" s="84">
        <f>IF(Database!W30&gt;0,Database!W30,"")</f>
        <v>0.15</v>
      </c>
      <c r="Z36" s="84">
        <f>IF(Database!X30&gt;0,Database!X30,"")</f>
        <v>0.14000000000000001</v>
      </c>
      <c r="AA36" s="85">
        <f>IF(Database!Y30&gt;0,Database!Y30,"")</f>
        <v>0.14000000000000001</v>
      </c>
      <c r="AB36" s="84">
        <f>IF(Database!Z30&gt;0,Database!Z30,"")</f>
        <v>0.08</v>
      </c>
      <c r="AC36" s="84">
        <f>IF(Database!AA30&gt;0,Database!AA30,"")</f>
        <v>0.09</v>
      </c>
      <c r="AD36" s="85">
        <f>IF(Database!AB30&gt;0,Database!AB30,"")</f>
        <v>0.09</v>
      </c>
      <c r="AE36" s="84">
        <f>IF(Database!AC30&gt;0,Database!AC30,"")</f>
        <v>0.15</v>
      </c>
      <c r="AF36" s="84">
        <f>IF(Database!AD30&gt;0,Database!AD30,"")</f>
        <v>0.2</v>
      </c>
      <c r="AG36" s="85">
        <f>IF(Database!AE30&gt;0,Database!AE30,"")</f>
        <v>0.17</v>
      </c>
      <c r="AH36" s="84">
        <f>IF(Database!AF30&gt;0,Database!AF30,"")</f>
        <v>0.11</v>
      </c>
      <c r="AI36" s="84">
        <f>IF(Database!AG30&gt;0,Database!AG30,"")</f>
        <v>0.05</v>
      </c>
      <c r="AJ36" s="85">
        <f>IF(Database!AH30&gt;0,Database!AH30,"")</f>
        <v>0.08</v>
      </c>
      <c r="AK36" s="84"/>
      <c r="AL36" s="84"/>
      <c r="AM36" s="86"/>
      <c r="AN36" s="84"/>
      <c r="AO36" s="84"/>
      <c r="AP36" s="86"/>
      <c r="AQ36" s="84"/>
      <c r="AR36" s="84"/>
      <c r="AS36" s="86"/>
    </row>
    <row r="37" spans="1:45" s="17" customFormat="1" ht="14.5" thickTop="1" x14ac:dyDescent="0.3">
      <c r="D37" s="36"/>
      <c r="E37" s="36"/>
      <c r="F37" s="54">
        <v>0</v>
      </c>
      <c r="G37" s="36"/>
      <c r="H37" s="36"/>
      <c r="I37" s="54">
        <v>0</v>
      </c>
      <c r="J37" s="36"/>
      <c r="K37" s="36"/>
      <c r="L37" s="54">
        <v>0</v>
      </c>
      <c r="M37" s="36"/>
      <c r="N37" s="36"/>
      <c r="O37" s="54">
        <v>0</v>
      </c>
      <c r="P37" s="36"/>
      <c r="Q37" s="36"/>
      <c r="R37" s="54">
        <v>0</v>
      </c>
      <c r="S37" s="36"/>
      <c r="T37" s="36"/>
      <c r="U37" s="54">
        <v>0</v>
      </c>
      <c r="V37" s="36"/>
      <c r="W37" s="36"/>
      <c r="X37" s="54">
        <v>0</v>
      </c>
      <c r="Y37" s="36"/>
      <c r="Z37" s="36"/>
      <c r="AA37" s="54">
        <v>0</v>
      </c>
      <c r="AB37" s="36"/>
      <c r="AC37" s="36"/>
      <c r="AD37" s="54">
        <v>0</v>
      </c>
      <c r="AE37" s="36"/>
      <c r="AF37" s="36"/>
      <c r="AG37" s="54">
        <v>0</v>
      </c>
      <c r="AH37" s="36"/>
      <c r="AI37" s="36"/>
      <c r="AJ37" s="54"/>
      <c r="AK37" s="36"/>
      <c r="AL37" s="36"/>
      <c r="AM37" s="54"/>
      <c r="AN37" s="36"/>
      <c r="AO37" s="36"/>
      <c r="AP37" s="54"/>
      <c r="AQ37" s="36"/>
      <c r="AR37" s="36"/>
      <c r="AS37" s="54"/>
    </row>
    <row r="38" spans="1:45" s="211" customFormat="1" ht="15" customHeight="1" x14ac:dyDescent="0.3">
      <c r="A38" s="210" t="s">
        <v>447</v>
      </c>
      <c r="D38" s="212" t="str">
        <f>D$5</f>
        <v>H1 09</v>
      </c>
      <c r="E38" s="212" t="str">
        <f t="shared" ref="E38:AS38" si="11">E$5</f>
        <v>H2 09</v>
      </c>
      <c r="F38" s="213" t="str">
        <f t="shared" si="11"/>
        <v>FY09</v>
      </c>
      <c r="G38" s="212" t="str">
        <f t="shared" si="11"/>
        <v>H1 10</v>
      </c>
      <c r="H38" s="212" t="str">
        <f t="shared" si="11"/>
        <v>H2 10</v>
      </c>
      <c r="I38" s="213" t="str">
        <f t="shared" si="11"/>
        <v>FY10</v>
      </c>
      <c r="J38" s="212" t="str">
        <f t="shared" si="11"/>
        <v>H1 11</v>
      </c>
      <c r="K38" s="212" t="str">
        <f t="shared" si="11"/>
        <v>H2 11</v>
      </c>
      <c r="L38" s="213" t="str">
        <f t="shared" si="11"/>
        <v>FY11</v>
      </c>
      <c r="M38" s="212" t="str">
        <f t="shared" si="11"/>
        <v>H1 12</v>
      </c>
      <c r="N38" s="212" t="str">
        <f t="shared" si="11"/>
        <v>H2 12</v>
      </c>
      <c r="O38" s="213" t="str">
        <f t="shared" si="11"/>
        <v>FY12</v>
      </c>
      <c r="P38" s="212" t="str">
        <f t="shared" si="11"/>
        <v>H1 13</v>
      </c>
      <c r="Q38" s="212" t="str">
        <f t="shared" si="11"/>
        <v>H2 13</v>
      </c>
      <c r="R38" s="213" t="str">
        <f t="shared" si="11"/>
        <v>FY13</v>
      </c>
      <c r="S38" s="212" t="str">
        <f t="shared" si="11"/>
        <v>H1 14</v>
      </c>
      <c r="T38" s="212" t="str">
        <f t="shared" si="11"/>
        <v>H2 14</v>
      </c>
      <c r="U38" s="213" t="str">
        <f t="shared" si="11"/>
        <v>FY14</v>
      </c>
      <c r="V38" s="212" t="str">
        <f t="shared" si="11"/>
        <v>H1 15</v>
      </c>
      <c r="W38" s="212" t="str">
        <f t="shared" si="11"/>
        <v>H2 15</v>
      </c>
      <c r="X38" s="213" t="str">
        <f t="shared" si="11"/>
        <v>FY15</v>
      </c>
      <c r="Y38" s="212" t="str">
        <f t="shared" si="11"/>
        <v>H1 16</v>
      </c>
      <c r="Z38" s="212" t="str">
        <f t="shared" si="11"/>
        <v>H2 16</v>
      </c>
      <c r="AA38" s="213" t="str">
        <f t="shared" si="11"/>
        <v>FY16</v>
      </c>
      <c r="AB38" s="212" t="str">
        <f t="shared" si="11"/>
        <v>H1 17</v>
      </c>
      <c r="AC38" s="212" t="str">
        <f t="shared" si="11"/>
        <v>H2 17</v>
      </c>
      <c r="AD38" s="213" t="str">
        <f t="shared" si="11"/>
        <v>FY17</v>
      </c>
      <c r="AE38" s="212" t="str">
        <f t="shared" si="11"/>
        <v>H1 18</v>
      </c>
      <c r="AF38" s="212" t="str">
        <f t="shared" si="11"/>
        <v>H2 18</v>
      </c>
      <c r="AG38" s="213" t="str">
        <f t="shared" si="11"/>
        <v>FY18</v>
      </c>
      <c r="AH38" s="212" t="str">
        <f t="shared" si="11"/>
        <v>H1 19</v>
      </c>
      <c r="AI38" s="212" t="str">
        <f t="shared" si="11"/>
        <v>H2 19</v>
      </c>
      <c r="AJ38" s="213" t="str">
        <f t="shared" si="11"/>
        <v>FY19</v>
      </c>
      <c r="AK38" s="212" t="str">
        <f t="shared" si="11"/>
        <v>H1 20</v>
      </c>
      <c r="AL38" s="212" t="str">
        <f t="shared" si="11"/>
        <v>H2 20</v>
      </c>
      <c r="AM38" s="213" t="str">
        <f t="shared" si="11"/>
        <v>FY20</v>
      </c>
      <c r="AN38" s="212" t="str">
        <f t="shared" si="11"/>
        <v>H1 21</v>
      </c>
      <c r="AO38" s="212" t="str">
        <f t="shared" si="11"/>
        <v>H2 21</v>
      </c>
      <c r="AP38" s="213" t="str">
        <f t="shared" si="11"/>
        <v>FY21</v>
      </c>
      <c r="AQ38" s="212" t="str">
        <f t="shared" si="11"/>
        <v>H1 22</v>
      </c>
      <c r="AR38" s="212" t="str">
        <f t="shared" si="11"/>
        <v>H2 22</v>
      </c>
      <c r="AS38" s="213" t="str">
        <f t="shared" si="11"/>
        <v>FY22</v>
      </c>
    </row>
    <row r="39" spans="1:45" s="89" customFormat="1" x14ac:dyDescent="0.3">
      <c r="A39" s="88" t="s">
        <v>449</v>
      </c>
      <c r="E39" s="89">
        <f>F39</f>
        <v>0</v>
      </c>
      <c r="F39" s="90"/>
      <c r="H39" s="89">
        <f>I39</f>
        <v>0</v>
      </c>
      <c r="I39" s="90"/>
      <c r="K39" s="89">
        <f>L39</f>
        <v>0</v>
      </c>
      <c r="L39" s="90"/>
      <c r="N39" s="89">
        <f>O39</f>
        <v>0</v>
      </c>
      <c r="O39" s="90"/>
      <c r="Q39" s="89">
        <f>R39</f>
        <v>0</v>
      </c>
      <c r="R39" s="90"/>
      <c r="T39" s="89">
        <f>U39</f>
        <v>0</v>
      </c>
      <c r="U39" s="90"/>
      <c r="W39" s="89">
        <f>X39</f>
        <v>0</v>
      </c>
      <c r="X39" s="90"/>
      <c r="Z39" s="89">
        <f>AA39</f>
        <v>0</v>
      </c>
      <c r="AA39" s="90"/>
      <c r="AC39" s="89">
        <f>AD39</f>
        <v>0</v>
      </c>
      <c r="AD39" s="90"/>
      <c r="AF39" s="89">
        <f>AG39</f>
        <v>19</v>
      </c>
      <c r="AG39" s="90">
        <v>19</v>
      </c>
      <c r="AH39" s="91">
        <v>20</v>
      </c>
      <c r="AJ39" s="92"/>
      <c r="AK39" s="91"/>
      <c r="AL39" s="91"/>
      <c r="AM39" s="92"/>
      <c r="AN39" s="91"/>
      <c r="AO39" s="91"/>
      <c r="AP39" s="92"/>
      <c r="AQ39" s="91"/>
      <c r="AR39" s="91"/>
      <c r="AS39" s="92"/>
    </row>
    <row r="40" spans="1:45" s="89" customFormat="1" x14ac:dyDescent="0.3">
      <c r="A40" s="88" t="s">
        <v>428</v>
      </c>
      <c r="E40" s="89">
        <f t="shared" ref="E40:E52" si="12">F40</f>
        <v>0</v>
      </c>
      <c r="F40" s="90"/>
      <c r="H40" s="89">
        <f t="shared" ref="H40:H52" si="13">I40</f>
        <v>0</v>
      </c>
      <c r="I40" s="90"/>
      <c r="K40" s="89">
        <f t="shared" ref="K40:K52" si="14">L40</f>
        <v>0</v>
      </c>
      <c r="L40" s="90"/>
      <c r="N40" s="89">
        <f t="shared" ref="N40:N52" si="15">O40</f>
        <v>0</v>
      </c>
      <c r="O40" s="90"/>
      <c r="Q40" s="89">
        <f t="shared" ref="Q40:Q52" si="16">R40</f>
        <v>0</v>
      </c>
      <c r="R40" s="90"/>
      <c r="T40" s="89">
        <f t="shared" ref="T40:T52" si="17">U40</f>
        <v>0</v>
      </c>
      <c r="U40" s="90"/>
      <c r="W40" s="89">
        <f t="shared" ref="W40:W52" si="18">X40</f>
        <v>0</v>
      </c>
      <c r="X40" s="90"/>
      <c r="Z40" s="89">
        <f t="shared" ref="Z40:Z52" si="19">AA40</f>
        <v>0</v>
      </c>
      <c r="AA40" s="90"/>
      <c r="AC40" s="89">
        <f t="shared" ref="AC40:AC52" si="20">AD40</f>
        <v>0</v>
      </c>
      <c r="AD40" s="90"/>
      <c r="AF40" s="89">
        <f t="shared" ref="AF40:AF52" si="21">AG40</f>
        <v>12</v>
      </c>
      <c r="AG40" s="90">
        <v>12</v>
      </c>
      <c r="AH40" s="91">
        <v>12</v>
      </c>
      <c r="AJ40" s="92"/>
      <c r="AK40" s="91"/>
      <c r="AL40" s="91"/>
      <c r="AM40" s="92"/>
      <c r="AN40" s="91"/>
      <c r="AO40" s="91"/>
      <c r="AP40" s="92"/>
      <c r="AQ40" s="91"/>
      <c r="AR40" s="91"/>
      <c r="AS40" s="92"/>
    </row>
    <row r="41" spans="1:45" s="89" customFormat="1" x14ac:dyDescent="0.3">
      <c r="A41" s="88" t="s">
        <v>450</v>
      </c>
      <c r="E41" s="89">
        <f t="shared" si="12"/>
        <v>0</v>
      </c>
      <c r="F41" s="90"/>
      <c r="H41" s="89">
        <f t="shared" si="13"/>
        <v>0</v>
      </c>
      <c r="I41" s="90"/>
      <c r="K41" s="89">
        <f t="shared" si="14"/>
        <v>0</v>
      </c>
      <c r="L41" s="90"/>
      <c r="N41" s="89">
        <f t="shared" si="15"/>
        <v>0</v>
      </c>
      <c r="O41" s="90"/>
      <c r="Q41" s="89">
        <f t="shared" si="16"/>
        <v>0</v>
      </c>
      <c r="R41" s="90"/>
      <c r="T41" s="89">
        <f t="shared" si="17"/>
        <v>0</v>
      </c>
      <c r="U41" s="90"/>
      <c r="W41" s="89">
        <f t="shared" si="18"/>
        <v>0</v>
      </c>
      <c r="X41" s="90"/>
      <c r="Z41" s="89">
        <f t="shared" si="19"/>
        <v>0</v>
      </c>
      <c r="AA41" s="90"/>
      <c r="AC41" s="89">
        <f t="shared" si="20"/>
        <v>0</v>
      </c>
      <c r="AD41" s="90"/>
      <c r="AF41" s="89">
        <f t="shared" si="21"/>
        <v>10</v>
      </c>
      <c r="AG41" s="90">
        <v>10</v>
      </c>
      <c r="AH41" s="91">
        <v>11</v>
      </c>
      <c r="AJ41" s="92"/>
      <c r="AK41" s="91"/>
      <c r="AL41" s="91"/>
      <c r="AM41" s="92"/>
      <c r="AN41" s="91"/>
      <c r="AO41" s="91"/>
      <c r="AP41" s="92"/>
      <c r="AQ41" s="91"/>
      <c r="AR41" s="91"/>
      <c r="AS41" s="92"/>
    </row>
    <row r="42" spans="1:45" s="89" customFormat="1" x14ac:dyDescent="0.3">
      <c r="A42" s="88" t="s">
        <v>451</v>
      </c>
      <c r="E42" s="89">
        <f t="shared" si="12"/>
        <v>0</v>
      </c>
      <c r="F42" s="90"/>
      <c r="H42" s="89">
        <f t="shared" si="13"/>
        <v>0</v>
      </c>
      <c r="I42" s="90"/>
      <c r="K42" s="89">
        <f t="shared" si="14"/>
        <v>0</v>
      </c>
      <c r="L42" s="90"/>
      <c r="N42" s="89">
        <f t="shared" si="15"/>
        <v>0</v>
      </c>
      <c r="O42" s="90"/>
      <c r="Q42" s="89">
        <f t="shared" si="16"/>
        <v>0</v>
      </c>
      <c r="R42" s="90"/>
      <c r="T42" s="89">
        <f t="shared" si="17"/>
        <v>0</v>
      </c>
      <c r="U42" s="90"/>
      <c r="W42" s="89">
        <f t="shared" si="18"/>
        <v>0</v>
      </c>
      <c r="X42" s="90"/>
      <c r="Z42" s="89">
        <f t="shared" si="19"/>
        <v>0</v>
      </c>
      <c r="AA42" s="90"/>
      <c r="AC42" s="89">
        <f t="shared" si="20"/>
        <v>0</v>
      </c>
      <c r="AD42" s="90"/>
      <c r="AF42" s="89">
        <f t="shared" si="21"/>
        <v>6</v>
      </c>
      <c r="AG42" s="90">
        <v>6</v>
      </c>
      <c r="AH42" s="91">
        <v>6</v>
      </c>
      <c r="AJ42" s="92"/>
      <c r="AK42" s="91"/>
      <c r="AL42" s="91"/>
      <c r="AM42" s="92"/>
      <c r="AN42" s="91"/>
      <c r="AO42" s="91"/>
      <c r="AP42" s="92"/>
      <c r="AQ42" s="91"/>
      <c r="AR42" s="91"/>
      <c r="AS42" s="92"/>
    </row>
    <row r="43" spans="1:45" s="89" customFormat="1" x14ac:dyDescent="0.3">
      <c r="A43" s="88" t="s">
        <v>452</v>
      </c>
      <c r="E43" s="89">
        <f t="shared" si="12"/>
        <v>0</v>
      </c>
      <c r="F43" s="90"/>
      <c r="H43" s="89">
        <f t="shared" si="13"/>
        <v>0</v>
      </c>
      <c r="I43" s="90"/>
      <c r="K43" s="89">
        <f t="shared" si="14"/>
        <v>0</v>
      </c>
      <c r="L43" s="90"/>
      <c r="N43" s="89">
        <f t="shared" si="15"/>
        <v>0</v>
      </c>
      <c r="O43" s="90"/>
      <c r="Q43" s="89">
        <f t="shared" si="16"/>
        <v>0</v>
      </c>
      <c r="R43" s="90"/>
      <c r="T43" s="89">
        <f t="shared" si="17"/>
        <v>0</v>
      </c>
      <c r="U43" s="90"/>
      <c r="W43" s="89">
        <f t="shared" si="18"/>
        <v>0</v>
      </c>
      <c r="X43" s="90"/>
      <c r="Z43" s="89">
        <f t="shared" si="19"/>
        <v>0</v>
      </c>
      <c r="AA43" s="90"/>
      <c r="AC43" s="89">
        <f t="shared" si="20"/>
        <v>0</v>
      </c>
      <c r="AD43" s="90"/>
      <c r="AF43" s="89">
        <f t="shared" si="21"/>
        <v>8</v>
      </c>
      <c r="AG43" s="90">
        <v>8</v>
      </c>
      <c r="AH43" s="91">
        <v>8</v>
      </c>
      <c r="AJ43" s="92"/>
      <c r="AK43" s="91"/>
      <c r="AL43" s="91"/>
      <c r="AM43" s="92"/>
      <c r="AN43" s="91"/>
      <c r="AO43" s="91"/>
      <c r="AP43" s="92"/>
      <c r="AQ43" s="91"/>
      <c r="AR43" s="91"/>
      <c r="AS43" s="92"/>
    </row>
    <row r="44" spans="1:45" s="89" customFormat="1" x14ac:dyDescent="0.3">
      <c r="A44" s="88" t="s">
        <v>453</v>
      </c>
      <c r="E44" s="89">
        <f t="shared" si="12"/>
        <v>0</v>
      </c>
      <c r="F44" s="90"/>
      <c r="H44" s="89">
        <f t="shared" si="13"/>
        <v>0</v>
      </c>
      <c r="I44" s="90"/>
      <c r="K44" s="89">
        <f t="shared" si="14"/>
        <v>0</v>
      </c>
      <c r="L44" s="90"/>
      <c r="N44" s="89">
        <f t="shared" si="15"/>
        <v>0</v>
      </c>
      <c r="O44" s="90"/>
      <c r="Q44" s="89">
        <f t="shared" si="16"/>
        <v>0</v>
      </c>
      <c r="R44" s="90"/>
      <c r="T44" s="89">
        <f t="shared" si="17"/>
        <v>0</v>
      </c>
      <c r="U44" s="90"/>
      <c r="W44" s="89">
        <f t="shared" si="18"/>
        <v>0</v>
      </c>
      <c r="X44" s="90"/>
      <c r="Z44" s="89">
        <f t="shared" si="19"/>
        <v>0</v>
      </c>
      <c r="AA44" s="90"/>
      <c r="AC44" s="89">
        <f t="shared" si="20"/>
        <v>0</v>
      </c>
      <c r="AD44" s="90"/>
      <c r="AF44" s="89">
        <f t="shared" si="21"/>
        <v>4</v>
      </c>
      <c r="AG44" s="90">
        <v>4</v>
      </c>
      <c r="AH44" s="91">
        <v>4</v>
      </c>
      <c r="AJ44" s="92"/>
      <c r="AK44" s="91"/>
      <c r="AL44" s="91"/>
      <c r="AM44" s="92"/>
      <c r="AN44" s="91"/>
      <c r="AO44" s="91"/>
      <c r="AP44" s="92"/>
      <c r="AQ44" s="91"/>
      <c r="AR44" s="91"/>
      <c r="AS44" s="92"/>
    </row>
    <row r="45" spans="1:45" s="89" customFormat="1" x14ac:dyDescent="0.3">
      <c r="A45" s="88" t="s">
        <v>454</v>
      </c>
      <c r="E45" s="89">
        <f t="shared" si="12"/>
        <v>0</v>
      </c>
      <c r="F45" s="90"/>
      <c r="H45" s="89">
        <f t="shared" si="13"/>
        <v>0</v>
      </c>
      <c r="I45" s="90"/>
      <c r="K45" s="89">
        <f t="shared" si="14"/>
        <v>0</v>
      </c>
      <c r="L45" s="90"/>
      <c r="N45" s="89">
        <f t="shared" si="15"/>
        <v>0</v>
      </c>
      <c r="O45" s="90"/>
      <c r="Q45" s="89">
        <f t="shared" si="16"/>
        <v>0</v>
      </c>
      <c r="R45" s="90"/>
      <c r="T45" s="89">
        <f t="shared" si="17"/>
        <v>0</v>
      </c>
      <c r="U45" s="90"/>
      <c r="W45" s="89">
        <f t="shared" si="18"/>
        <v>0</v>
      </c>
      <c r="X45" s="90"/>
      <c r="Z45" s="89">
        <f t="shared" si="19"/>
        <v>0</v>
      </c>
      <c r="AA45" s="90"/>
      <c r="AC45" s="89">
        <f t="shared" si="20"/>
        <v>0</v>
      </c>
      <c r="AD45" s="90"/>
      <c r="AF45" s="89">
        <f t="shared" si="21"/>
        <v>3</v>
      </c>
      <c r="AG45" s="90">
        <v>3</v>
      </c>
      <c r="AH45" s="91">
        <v>3</v>
      </c>
      <c r="AJ45" s="92"/>
      <c r="AK45" s="91"/>
      <c r="AL45" s="91"/>
      <c r="AM45" s="92"/>
      <c r="AN45" s="91"/>
      <c r="AO45" s="91"/>
      <c r="AP45" s="92"/>
      <c r="AQ45" s="91"/>
      <c r="AR45" s="91"/>
      <c r="AS45" s="92"/>
    </row>
    <row r="46" spans="1:45" s="89" customFormat="1" x14ac:dyDescent="0.3">
      <c r="A46" s="88" t="s">
        <v>455</v>
      </c>
      <c r="E46" s="89">
        <f t="shared" si="12"/>
        <v>0</v>
      </c>
      <c r="F46" s="90"/>
      <c r="H46" s="89">
        <f t="shared" si="13"/>
        <v>0</v>
      </c>
      <c r="I46" s="90"/>
      <c r="K46" s="89">
        <f t="shared" si="14"/>
        <v>0</v>
      </c>
      <c r="L46" s="90"/>
      <c r="N46" s="89">
        <f t="shared" si="15"/>
        <v>0</v>
      </c>
      <c r="O46" s="90"/>
      <c r="Q46" s="89">
        <f t="shared" si="16"/>
        <v>0</v>
      </c>
      <c r="R46" s="90"/>
      <c r="T46" s="89">
        <f t="shared" si="17"/>
        <v>0</v>
      </c>
      <c r="U46" s="90"/>
      <c r="W46" s="89">
        <f t="shared" si="18"/>
        <v>0</v>
      </c>
      <c r="X46" s="90"/>
      <c r="Z46" s="89">
        <f t="shared" si="19"/>
        <v>0</v>
      </c>
      <c r="AA46" s="90"/>
      <c r="AC46" s="89">
        <f t="shared" si="20"/>
        <v>0</v>
      </c>
      <c r="AD46" s="90"/>
      <c r="AF46" s="89">
        <f t="shared" si="21"/>
        <v>5</v>
      </c>
      <c r="AG46" s="90">
        <v>5</v>
      </c>
      <c r="AH46" s="91">
        <v>5</v>
      </c>
      <c r="AJ46" s="92"/>
      <c r="AK46" s="91"/>
      <c r="AL46" s="91"/>
      <c r="AM46" s="92"/>
      <c r="AN46" s="91"/>
      <c r="AO46" s="91"/>
      <c r="AP46" s="92"/>
      <c r="AQ46" s="91"/>
      <c r="AR46" s="91"/>
      <c r="AS46" s="92"/>
    </row>
    <row r="47" spans="1:45" s="89" customFormat="1" x14ac:dyDescent="0.3">
      <c r="A47" s="88" t="s">
        <v>456</v>
      </c>
      <c r="E47" s="89">
        <f t="shared" si="12"/>
        <v>0</v>
      </c>
      <c r="F47" s="90"/>
      <c r="H47" s="89">
        <f t="shared" si="13"/>
        <v>0</v>
      </c>
      <c r="I47" s="90"/>
      <c r="K47" s="89">
        <f t="shared" si="14"/>
        <v>0</v>
      </c>
      <c r="L47" s="90"/>
      <c r="N47" s="89">
        <f t="shared" si="15"/>
        <v>0</v>
      </c>
      <c r="O47" s="90"/>
      <c r="Q47" s="89">
        <f t="shared" si="16"/>
        <v>0</v>
      </c>
      <c r="R47" s="90"/>
      <c r="T47" s="89">
        <f t="shared" si="17"/>
        <v>0</v>
      </c>
      <c r="U47" s="90"/>
      <c r="W47" s="89">
        <f t="shared" si="18"/>
        <v>0</v>
      </c>
      <c r="X47" s="90"/>
      <c r="Z47" s="89">
        <f t="shared" si="19"/>
        <v>0</v>
      </c>
      <c r="AA47" s="90"/>
      <c r="AC47" s="89">
        <f t="shared" si="20"/>
        <v>0</v>
      </c>
      <c r="AD47" s="90"/>
      <c r="AF47" s="89">
        <f t="shared" si="21"/>
        <v>6</v>
      </c>
      <c r="AG47" s="90">
        <v>6</v>
      </c>
      <c r="AH47" s="91">
        <v>6</v>
      </c>
      <c r="AJ47" s="92"/>
      <c r="AK47" s="91"/>
      <c r="AL47" s="91"/>
      <c r="AM47" s="92"/>
      <c r="AN47" s="91"/>
      <c r="AO47" s="91"/>
      <c r="AP47" s="92"/>
      <c r="AQ47" s="91"/>
      <c r="AR47" s="91"/>
      <c r="AS47" s="92"/>
    </row>
    <row r="48" spans="1:45" s="89" customFormat="1" x14ac:dyDescent="0.3">
      <c r="A48" s="88" t="s">
        <v>457</v>
      </c>
      <c r="E48" s="89">
        <f t="shared" si="12"/>
        <v>0</v>
      </c>
      <c r="F48" s="90"/>
      <c r="H48" s="89">
        <f t="shared" si="13"/>
        <v>0</v>
      </c>
      <c r="I48" s="90"/>
      <c r="K48" s="89">
        <f t="shared" si="14"/>
        <v>0</v>
      </c>
      <c r="L48" s="90"/>
      <c r="N48" s="89">
        <f t="shared" si="15"/>
        <v>0</v>
      </c>
      <c r="O48" s="90"/>
      <c r="Q48" s="89">
        <f t="shared" si="16"/>
        <v>0</v>
      </c>
      <c r="R48" s="90"/>
      <c r="T48" s="89">
        <f t="shared" si="17"/>
        <v>0</v>
      </c>
      <c r="U48" s="90"/>
      <c r="W48" s="89">
        <f t="shared" si="18"/>
        <v>0</v>
      </c>
      <c r="X48" s="90"/>
      <c r="Z48" s="89">
        <f t="shared" si="19"/>
        <v>0</v>
      </c>
      <c r="AA48" s="90"/>
      <c r="AC48" s="89">
        <f t="shared" si="20"/>
        <v>0</v>
      </c>
      <c r="AD48" s="90"/>
      <c r="AF48" s="89">
        <f t="shared" si="21"/>
        <v>2</v>
      </c>
      <c r="AG48" s="90">
        <v>2</v>
      </c>
      <c r="AH48" s="91">
        <v>2</v>
      </c>
      <c r="AJ48" s="92"/>
      <c r="AK48" s="91"/>
      <c r="AL48" s="91"/>
      <c r="AM48" s="92"/>
      <c r="AN48" s="91"/>
      <c r="AO48" s="91"/>
      <c r="AP48" s="92"/>
      <c r="AQ48" s="91"/>
      <c r="AR48" s="91"/>
      <c r="AS48" s="92"/>
    </row>
    <row r="49" spans="1:45" s="89" customFormat="1" x14ac:dyDescent="0.3">
      <c r="A49" s="88" t="s">
        <v>458</v>
      </c>
      <c r="E49" s="89">
        <f t="shared" si="12"/>
        <v>0</v>
      </c>
      <c r="F49" s="90"/>
      <c r="H49" s="89">
        <f t="shared" si="13"/>
        <v>0</v>
      </c>
      <c r="I49" s="90"/>
      <c r="K49" s="89">
        <f t="shared" si="14"/>
        <v>0</v>
      </c>
      <c r="L49" s="90"/>
      <c r="N49" s="89">
        <f t="shared" si="15"/>
        <v>0</v>
      </c>
      <c r="O49" s="90"/>
      <c r="Q49" s="89">
        <f t="shared" si="16"/>
        <v>0</v>
      </c>
      <c r="R49" s="90"/>
      <c r="T49" s="89">
        <f t="shared" si="17"/>
        <v>0</v>
      </c>
      <c r="U49" s="90"/>
      <c r="W49" s="89">
        <f t="shared" si="18"/>
        <v>0</v>
      </c>
      <c r="X49" s="90"/>
      <c r="Z49" s="89">
        <f t="shared" si="19"/>
        <v>0</v>
      </c>
      <c r="AA49" s="90"/>
      <c r="AC49" s="89">
        <f t="shared" si="20"/>
        <v>0</v>
      </c>
      <c r="AD49" s="90"/>
      <c r="AF49" s="89">
        <f t="shared" si="21"/>
        <v>4</v>
      </c>
      <c r="AG49" s="90">
        <v>4</v>
      </c>
      <c r="AH49" s="91">
        <v>4</v>
      </c>
      <c r="AJ49" s="92"/>
      <c r="AK49" s="91"/>
      <c r="AL49" s="91"/>
      <c r="AM49" s="92"/>
      <c r="AN49" s="91"/>
      <c r="AO49" s="91"/>
      <c r="AP49" s="92"/>
      <c r="AQ49" s="91"/>
      <c r="AR49" s="91"/>
      <c r="AS49" s="92"/>
    </row>
    <row r="50" spans="1:45" s="89" customFormat="1" x14ac:dyDescent="0.3">
      <c r="A50" s="88" t="s">
        <v>459</v>
      </c>
      <c r="E50" s="89">
        <f t="shared" si="12"/>
        <v>0</v>
      </c>
      <c r="F50" s="90"/>
      <c r="H50" s="89">
        <f t="shared" si="13"/>
        <v>0</v>
      </c>
      <c r="I50" s="90"/>
      <c r="K50" s="89">
        <f t="shared" si="14"/>
        <v>0</v>
      </c>
      <c r="L50" s="90"/>
      <c r="N50" s="89">
        <f t="shared" si="15"/>
        <v>0</v>
      </c>
      <c r="O50" s="90"/>
      <c r="Q50" s="89">
        <f t="shared" si="16"/>
        <v>0</v>
      </c>
      <c r="R50" s="90"/>
      <c r="T50" s="89">
        <f t="shared" si="17"/>
        <v>0</v>
      </c>
      <c r="U50" s="90"/>
      <c r="W50" s="89">
        <f t="shared" si="18"/>
        <v>0</v>
      </c>
      <c r="X50" s="90"/>
      <c r="Z50" s="89">
        <f t="shared" si="19"/>
        <v>0</v>
      </c>
      <c r="AA50" s="90"/>
      <c r="AC50" s="89">
        <f t="shared" si="20"/>
        <v>0</v>
      </c>
      <c r="AD50" s="90"/>
      <c r="AF50" s="89">
        <f t="shared" si="21"/>
        <v>1</v>
      </c>
      <c r="AG50" s="90">
        <v>1</v>
      </c>
      <c r="AH50" s="91">
        <v>1</v>
      </c>
      <c r="AJ50" s="92"/>
      <c r="AK50" s="91"/>
      <c r="AL50" s="91"/>
      <c r="AM50" s="92"/>
      <c r="AN50" s="91"/>
      <c r="AO50" s="91"/>
      <c r="AP50" s="92"/>
      <c r="AQ50" s="91"/>
      <c r="AR50" s="91"/>
      <c r="AS50" s="92"/>
    </row>
    <row r="51" spans="1:45" s="89" customFormat="1" x14ac:dyDescent="0.3">
      <c r="A51" s="88" t="s">
        <v>460</v>
      </c>
      <c r="E51" s="89">
        <f t="shared" si="12"/>
        <v>0</v>
      </c>
      <c r="F51" s="90"/>
      <c r="H51" s="89">
        <f t="shared" si="13"/>
        <v>0</v>
      </c>
      <c r="I51" s="90"/>
      <c r="K51" s="89">
        <f t="shared" si="14"/>
        <v>0</v>
      </c>
      <c r="L51" s="90"/>
      <c r="N51" s="89">
        <f t="shared" si="15"/>
        <v>0</v>
      </c>
      <c r="O51" s="90"/>
      <c r="Q51" s="89">
        <f t="shared" si="16"/>
        <v>0</v>
      </c>
      <c r="R51" s="90"/>
      <c r="T51" s="89">
        <f t="shared" si="17"/>
        <v>0</v>
      </c>
      <c r="U51" s="90"/>
      <c r="W51" s="89">
        <f t="shared" si="18"/>
        <v>0</v>
      </c>
      <c r="X51" s="90"/>
      <c r="Z51" s="89">
        <f t="shared" si="19"/>
        <v>0</v>
      </c>
      <c r="AA51" s="90"/>
      <c r="AC51" s="89">
        <f t="shared" si="20"/>
        <v>0</v>
      </c>
      <c r="AD51" s="90"/>
      <c r="AF51" s="89">
        <f t="shared" si="21"/>
        <v>19</v>
      </c>
      <c r="AG51" s="90">
        <v>19</v>
      </c>
      <c r="AH51" s="91">
        <v>21</v>
      </c>
      <c r="AJ51" s="92"/>
      <c r="AK51" s="91"/>
      <c r="AL51" s="91"/>
      <c r="AM51" s="92"/>
      <c r="AN51" s="91"/>
      <c r="AO51" s="91"/>
      <c r="AP51" s="92"/>
      <c r="AQ51" s="91"/>
      <c r="AR51" s="91"/>
      <c r="AS51" s="92"/>
    </row>
    <row r="52" spans="1:45" s="98" customFormat="1" ht="14.5" thickBot="1" x14ac:dyDescent="0.35">
      <c r="A52" s="93" t="s">
        <v>447</v>
      </c>
      <c r="B52" s="94"/>
      <c r="C52" s="94"/>
      <c r="D52" s="95" t="e">
        <f>IF(Database!#REF!&gt;0,Database!#REF!,"")</f>
        <v>#REF!</v>
      </c>
      <c r="E52" s="95" t="e">
        <f t="shared" si="12"/>
        <v>#REF!</v>
      </c>
      <c r="F52" s="96" t="e">
        <f>IF(Database!#REF!&gt;0,Database!#REF!,"")</f>
        <v>#REF!</v>
      </c>
      <c r="G52" s="95" t="e">
        <f>IF(Database!#REF!&gt;0,Database!#REF!,"")</f>
        <v>#REF!</v>
      </c>
      <c r="H52" s="95" t="e">
        <f t="shared" si="13"/>
        <v>#REF!</v>
      </c>
      <c r="I52" s="96" t="e">
        <f>IF(Database!#REF!&gt;0,Database!#REF!,"")</f>
        <v>#REF!</v>
      </c>
      <c r="J52" s="95" t="e">
        <f>IF(Database!#REF!&gt;0,Database!#REF!,"")</f>
        <v>#REF!</v>
      </c>
      <c r="K52" s="95" t="e">
        <f t="shared" si="14"/>
        <v>#REF!</v>
      </c>
      <c r="L52" s="96" t="e">
        <f>IF(Database!#REF!&gt;0,Database!#REF!,"")</f>
        <v>#REF!</v>
      </c>
      <c r="M52" s="95" t="e">
        <f>IF(Database!#REF!&gt;0,Database!#REF!,"")</f>
        <v>#REF!</v>
      </c>
      <c r="N52" s="95" t="e">
        <f t="shared" si="15"/>
        <v>#REF!</v>
      </c>
      <c r="O52" s="96" t="e">
        <f>IF(Database!#REF!&gt;0,Database!#REF!,"")</f>
        <v>#REF!</v>
      </c>
      <c r="P52" s="95" t="e">
        <f>IF(Database!#REF!&gt;0,Database!#REF!,"")</f>
        <v>#REF!</v>
      </c>
      <c r="Q52" s="95" t="e">
        <f t="shared" si="16"/>
        <v>#REF!</v>
      </c>
      <c r="R52" s="96" t="e">
        <f>IF(Database!#REF!&gt;0,Database!#REF!,"")</f>
        <v>#REF!</v>
      </c>
      <c r="S52" s="95" t="e">
        <f>IF(Database!#REF!&gt;0,Database!#REF!,"")</f>
        <v>#REF!</v>
      </c>
      <c r="T52" s="95" t="e">
        <f t="shared" si="17"/>
        <v>#REF!</v>
      </c>
      <c r="U52" s="96" t="e">
        <f>IF(Database!#REF!&gt;0,Database!#REF!,"")</f>
        <v>#REF!</v>
      </c>
      <c r="V52" s="95" t="str">
        <f>IF(Database!T61&gt;0,Database!T61,"")</f>
        <v/>
      </c>
      <c r="W52" s="95" t="str">
        <f t="shared" si="18"/>
        <v/>
      </c>
      <c r="X52" s="96" t="str">
        <f>IF(Database!V61&gt;0,Database!V61,"")</f>
        <v/>
      </c>
      <c r="Y52" s="95" t="str">
        <f>IF(Database!W61&gt;0,Database!W61,"")</f>
        <v/>
      </c>
      <c r="Z52" s="95" t="str">
        <f t="shared" si="19"/>
        <v/>
      </c>
      <c r="AA52" s="96" t="str">
        <f>IF(Database!Y61&gt;0,Database!Y61,"")</f>
        <v/>
      </c>
      <c r="AB52" s="95" t="str">
        <f>IF(Database!Z61&gt;0,Database!Z61,"")</f>
        <v/>
      </c>
      <c r="AC52" s="95" t="str">
        <f t="shared" si="20"/>
        <v/>
      </c>
      <c r="AD52" s="96" t="str">
        <f>IF(Database!AB61&gt;0,Database!AB61,"")</f>
        <v/>
      </c>
      <c r="AE52" s="95" t="str">
        <f>IF(Database!AC61&gt;0,Database!AC61,"")</f>
        <v/>
      </c>
      <c r="AF52" s="95">
        <f t="shared" si="21"/>
        <v>99</v>
      </c>
      <c r="AG52" s="96">
        <v>99</v>
      </c>
      <c r="AH52" s="95">
        <v>103</v>
      </c>
      <c r="AI52" s="95"/>
      <c r="AJ52" s="96" t="str">
        <f>IF(Database!AH61&gt;0,Database!AH61,"")</f>
        <v/>
      </c>
      <c r="AK52" s="95"/>
      <c r="AL52" s="95"/>
      <c r="AM52" s="97"/>
      <c r="AN52" s="95"/>
      <c r="AO52" s="95"/>
      <c r="AP52" s="97"/>
      <c r="AQ52" s="95"/>
      <c r="AR52" s="95"/>
      <c r="AS52" s="97"/>
    </row>
    <row r="53" spans="1:45" ht="14.5" thickTop="1" x14ac:dyDescent="0.3">
      <c r="D53" s="11"/>
      <c r="E53" s="11"/>
      <c r="F53" s="47"/>
      <c r="G53" s="11"/>
      <c r="H53" s="11"/>
      <c r="I53" s="47"/>
      <c r="J53" s="11"/>
      <c r="K53" s="11"/>
      <c r="L53" s="47"/>
      <c r="M53" s="11"/>
      <c r="N53" s="11"/>
      <c r="O53" s="47"/>
      <c r="P53" s="11"/>
      <c r="Q53" s="11"/>
      <c r="R53" s="47"/>
      <c r="S53" s="11"/>
      <c r="T53" s="11"/>
      <c r="U53" s="47"/>
      <c r="V53" s="11"/>
      <c r="W53" s="11"/>
      <c r="X53" s="47"/>
      <c r="Y53" s="11"/>
      <c r="Z53" s="11"/>
      <c r="AA53" s="47"/>
      <c r="AB53" s="11"/>
      <c r="AC53" s="11"/>
      <c r="AD53" s="47"/>
      <c r="AE53" s="11"/>
      <c r="AF53" s="11"/>
      <c r="AG53" s="47"/>
      <c r="AH53" s="11"/>
      <c r="AI53" s="11"/>
      <c r="AK53" s="11"/>
      <c r="AL53" s="11"/>
      <c r="AN53" s="11"/>
      <c r="AO53" s="11"/>
      <c r="AQ53" s="11"/>
      <c r="AR53" s="11"/>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Database</vt:lpstr>
      <vt:lpstr>Quarters</vt:lpstr>
      <vt:lpstr>Fee &amp; Cost Breakdown</vt:lpstr>
      <vt:lpstr>Charts</vt:lpstr>
      <vt:lpstr>Glossary</vt:lpstr>
      <vt:lpstr>Global footprint</vt:lpstr>
      <vt:lpstr>FY22 PLAN</vt:lpstr>
      <vt:lpstr>CASH</vt:lpstr>
      <vt:lpstr>Rest of World</vt:lpstr>
      <vt:lpstr>Offices</vt:lpstr>
      <vt:lpstr>Database!Print_Area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Chalkly, Charles</dc:creator>
  <cp:lastModifiedBy>Maguire, Robert</cp:lastModifiedBy>
  <cp:lastPrinted>2020-06-19T15:34:44Z</cp:lastPrinted>
  <dcterms:created xsi:type="dcterms:W3CDTF">2019-05-31T08:10:04Z</dcterms:created>
  <dcterms:modified xsi:type="dcterms:W3CDTF">2025-08-26T16:35:49Z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